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7"/>
  <workbookPr defaultThemeVersion="166925"/>
  <mc:AlternateContent xmlns:mc="http://schemas.openxmlformats.org/markup-compatibility/2006">
    <mc:Choice Requires="x15">
      <x15ac:absPath xmlns:x15ac="http://schemas.microsoft.com/office/spreadsheetml/2010/11/ac" url="/Volumes/Dokumente/1_Projekte/aktive Projekte/1010_Oekobilanzrechner/Oekobilanzrechner 2024/23AB Holzrechner 24 BAFU/"/>
    </mc:Choice>
  </mc:AlternateContent>
  <xr:revisionPtr revIDLastSave="0" documentId="13_ncr:1_{73823571-DBC0-B641-B6C3-D01AF742C64D}" xr6:coauthVersionLast="47" xr6:coauthVersionMax="47" xr10:uidLastSave="{00000000-0000-0000-0000-000000000000}"/>
  <workbookProtection workbookAlgorithmName="SHA-512" workbookHashValue="605gLj4G0oXGxrTi0mCK5tVRwVRIooq+6zAonFznhRTr/L+a8KfdUzuB8iglu2FhzMHvWtwpO+VkwTcN2eaPDg==" workbookSaltValue="TZagTV0IlT98hhnNeYzP8A==" workbookSpinCount="100000" lockStructure="1"/>
  <bookViews>
    <workbookView xWindow="4840" yWindow="1020" windowWidth="33160" windowHeight="18100" xr2:uid="{CB3DAF2F-BAB8-8748-B784-8D69223A1179}"/>
  </bookViews>
  <sheets>
    <sheet name="Start" sheetId="14" r:id="rId1"/>
    <sheet name="Eingabemaske" sheetId="1" r:id="rId2"/>
    <sheet name="Auswertung Eingaben" sheetId="7" state="hidden" r:id="rId3"/>
    <sheet name="Ergebnisse Ökobilanz" sheetId="11" state="hidden" r:id="rId4"/>
    <sheet name="Berechnungsmatrix LCIA" sheetId="8" state="hidden" r:id="rId5"/>
    <sheet name="Faktoren Prozessketten" sheetId="5" state="hidden" r:id="rId6"/>
    <sheet name="LCIA openlca-export" sheetId="10" state="hidden" r:id="rId7"/>
    <sheet name="LCIA Daten manuell" sheetId="12" state="hidden" r:id="rId8"/>
    <sheet name="Transportdaten" sheetId="4" state="hidden" r:id="rId9"/>
    <sheet name="Faktoren Ressourcenkorrektur" sheetId="13" state="hidden" r:id="rId10"/>
    <sheet name="Hilfstab Eingabemaske" sheetId="2" state="hidden" r:id="rId11"/>
    <sheet name="Hilfstab Menus" sheetId="3" state="hidden" r:id="rId12"/>
    <sheet name="Pendenzen" sheetId="9" state="hidden" r:id="rId13"/>
  </sheets>
  <definedNames>
    <definedName name="_xlnm.Print_Area" localSheetId="1">Eingabemaske!$B$1:$I$39</definedName>
    <definedName name="_xlnm.Print_Area" localSheetId="0">Start!$B$1:$B$33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4" l="1"/>
  <c r="I10" i="4"/>
  <c r="H9" i="4"/>
  <c r="G8" i="4"/>
  <c r="F7" i="4"/>
  <c r="E6" i="4"/>
  <c r="D5" i="4"/>
  <c r="C4" i="4"/>
  <c r="B3" i="4"/>
  <c r="Q82" i="5"/>
  <c r="M12" i="4" l="1"/>
  <c r="N12" i="4"/>
  <c r="P83" i="5"/>
  <c r="P78" i="5"/>
  <c r="Q78" i="5"/>
  <c r="P80" i="5"/>
  <c r="P79" i="5"/>
  <c r="CF65" i="5"/>
  <c r="CC65" i="5" s="1"/>
  <c r="H68" i="5"/>
  <c r="H69" i="5"/>
  <c r="H70" i="5"/>
  <c r="H71" i="5"/>
  <c r="H72" i="5"/>
  <c r="H73" i="5"/>
  <c r="H74" i="5"/>
  <c r="H75" i="5"/>
  <c r="H76" i="5"/>
  <c r="H77" i="5"/>
  <c r="CF64" i="5"/>
  <c r="CC64" i="5" s="1"/>
  <c r="P81" i="5" l="1"/>
  <c r="K81" i="5"/>
  <c r="K80" i="5"/>
  <c r="J81" i="5"/>
  <c r="J80" i="5"/>
  <c r="I81" i="5"/>
  <c r="I80" i="5"/>
  <c r="B24" i="7" l="1"/>
  <c r="C4" i="1" s="1"/>
  <c r="C24" i="7"/>
  <c r="C23" i="7"/>
  <c r="C22" i="7"/>
  <c r="C21" i="7"/>
  <c r="B23" i="7"/>
  <c r="C8" i="1" s="1"/>
  <c r="DD104" i="5" l="1"/>
  <c r="BY4" i="12"/>
  <c r="BY5" i="12"/>
  <c r="P104" i="5"/>
  <c r="O104" i="5"/>
  <c r="J104" i="5"/>
  <c r="P105" i="5"/>
  <c r="O105" i="5"/>
  <c r="I105" i="5"/>
  <c r="I104" i="5" s="1"/>
  <c r="N105" i="5"/>
  <c r="CI3" i="5" l="1"/>
  <c r="H105" i="5"/>
  <c r="E105" i="5"/>
  <c r="E104" i="5"/>
  <c r="C7" i="1"/>
  <c r="E28" i="1" l="1"/>
  <c r="F28" i="1"/>
  <c r="H21" i="1"/>
  <c r="G21" i="1"/>
  <c r="F21" i="1"/>
  <c r="E21" i="1"/>
  <c r="C23" i="1"/>
  <c r="C21" i="1"/>
  <c r="G22" i="1" s="1"/>
  <c r="H9" i="1"/>
  <c r="G9" i="1"/>
  <c r="F9" i="1"/>
  <c r="E9" i="1"/>
  <c r="C9" i="1"/>
  <c r="C5" i="1"/>
  <c r="H1" i="1"/>
  <c r="J13" i="4"/>
  <c r="I13" i="4"/>
  <c r="H13" i="4"/>
  <c r="G13" i="4"/>
  <c r="F13" i="4"/>
  <c r="E13" i="4"/>
  <c r="D13" i="4"/>
  <c r="C13" i="4"/>
  <c r="B13" i="4"/>
  <c r="L90" i="5"/>
  <c r="A3" i="3"/>
  <c r="G2" i="7"/>
  <c r="B5" i="7"/>
  <c r="C5" i="7"/>
  <c r="I2" i="7"/>
  <c r="E76" i="5"/>
  <c r="Q3" i="4"/>
  <c r="E94" i="5"/>
  <c r="Q4" i="4"/>
  <c r="Q5" i="4"/>
  <c r="Q6" i="4"/>
  <c r="Q7" i="4"/>
  <c r="Q8" i="4"/>
  <c r="Q9" i="4"/>
  <c r="Q10" i="4"/>
  <c r="Q11" i="4"/>
  <c r="K82" i="5"/>
  <c r="J82" i="5" s="1"/>
  <c r="I82" i="5" s="1"/>
  <c r="G37" i="1"/>
  <c r="G22" i="2"/>
  <c r="E22" i="2"/>
  <c r="B22" i="2"/>
  <c r="H37" i="1"/>
  <c r="F22" i="2"/>
  <c r="F21" i="2"/>
  <c r="D22" i="2"/>
  <c r="D21" i="2"/>
  <c r="C22" i="2"/>
  <c r="C21" i="2"/>
  <c r="G21" i="2"/>
  <c r="O80" i="5"/>
  <c r="H80" i="5" s="1"/>
  <c r="G80" i="5" s="1"/>
  <c r="DA80" i="5" s="1"/>
  <c r="E80" i="5"/>
  <c r="CD1" i="8"/>
  <c r="CE1" i="8"/>
  <c r="CN3" i="5"/>
  <c r="CO3" i="5"/>
  <c r="CE5" i="12"/>
  <c r="CD5" i="12"/>
  <c r="J83" i="5"/>
  <c r="I83" i="5" s="1"/>
  <c r="O83" i="5" s="1"/>
  <c r="H83" i="5" s="1"/>
  <c r="G83" i="5" s="1"/>
  <c r="DD83" i="5" s="1"/>
  <c r="E82" i="5"/>
  <c r="E83" i="5"/>
  <c r="BR4" i="12"/>
  <c r="DF3" i="5"/>
  <c r="H67" i="5"/>
  <c r="G67" i="5" s="1"/>
  <c r="P67" i="5" s="1"/>
  <c r="H66" i="5"/>
  <c r="G76" i="5"/>
  <c r="DC76" i="5" s="1"/>
  <c r="E74" i="5"/>
  <c r="G73" i="5"/>
  <c r="DC73" i="5" s="1"/>
  <c r="E73" i="5"/>
  <c r="G70" i="5"/>
  <c r="DC70" i="5" s="1"/>
  <c r="E70" i="5"/>
  <c r="E68" i="5"/>
  <c r="E67" i="5"/>
  <c r="D3" i="13"/>
  <c r="C3" i="13"/>
  <c r="B3" i="13"/>
  <c r="BV1" i="8"/>
  <c r="H103" i="5"/>
  <c r="G103" i="5" s="1"/>
  <c r="CT103" i="5" s="1"/>
  <c r="H102" i="5"/>
  <c r="G102" i="5" s="1"/>
  <c r="CT102" i="5" s="1"/>
  <c r="E64" i="5"/>
  <c r="BV3" i="12"/>
  <c r="BV4" i="12" s="1"/>
  <c r="F35" i="1"/>
  <c r="BS5" i="12"/>
  <c r="CA5" i="12"/>
  <c r="BR5" i="12"/>
  <c r="BT5" i="12"/>
  <c r="O5" i="12"/>
  <c r="K5" i="12"/>
  <c r="Q5" i="12"/>
  <c r="J5" i="12"/>
  <c r="BZ5" i="12"/>
  <c r="BW5" i="12"/>
  <c r="CA4" i="12"/>
  <c r="BS4" i="12"/>
  <c r="CC5" i="12"/>
  <c r="C2" i="13"/>
  <c r="D2" i="13"/>
  <c r="E2" i="13"/>
  <c r="F2" i="13"/>
  <c r="G2" i="13"/>
  <c r="B2" i="13"/>
  <c r="M3" i="5"/>
  <c r="N3" i="5"/>
  <c r="O3" i="5"/>
  <c r="P3" i="5"/>
  <c r="Q3" i="5"/>
  <c r="R3" i="5"/>
  <c r="S3" i="5"/>
  <c r="T3" i="5"/>
  <c r="U3" i="5"/>
  <c r="V3" i="5"/>
  <c r="W3" i="5"/>
  <c r="X3" i="5"/>
  <c r="Y3" i="5"/>
  <c r="Z3" i="5"/>
  <c r="AA3" i="5"/>
  <c r="AB3" i="5"/>
  <c r="AC3" i="5"/>
  <c r="AD3" i="5"/>
  <c r="AE3" i="5"/>
  <c r="AF3" i="5"/>
  <c r="AG3" i="5"/>
  <c r="AH3" i="5"/>
  <c r="AI3" i="5"/>
  <c r="AJ3" i="5"/>
  <c r="AK3" i="5"/>
  <c r="AL3" i="5"/>
  <c r="AM3" i="5"/>
  <c r="AN3" i="5"/>
  <c r="AO3" i="5"/>
  <c r="AP3" i="5"/>
  <c r="AQ3" i="5"/>
  <c r="AR3" i="5"/>
  <c r="AS3" i="5"/>
  <c r="AT3" i="5"/>
  <c r="AU3" i="5"/>
  <c r="AV3" i="5"/>
  <c r="AW3" i="5"/>
  <c r="AX3" i="5"/>
  <c r="AY3" i="5"/>
  <c r="AZ3" i="5"/>
  <c r="BA3" i="5"/>
  <c r="BB3" i="5"/>
  <c r="BC3" i="5"/>
  <c r="BD3" i="5"/>
  <c r="BE3" i="5"/>
  <c r="BF3" i="5"/>
  <c r="BG3" i="5"/>
  <c r="BH3" i="5"/>
  <c r="BI3" i="5"/>
  <c r="BJ3" i="5"/>
  <c r="BK3" i="5"/>
  <c r="BL3" i="5"/>
  <c r="BM3" i="5"/>
  <c r="BN3" i="5"/>
  <c r="BO3" i="5"/>
  <c r="BP3" i="5"/>
  <c r="BQ3" i="5"/>
  <c r="BR3" i="5"/>
  <c r="BS3" i="5"/>
  <c r="BT3" i="5"/>
  <c r="BU3" i="5"/>
  <c r="BV3" i="5"/>
  <c r="BW3" i="5"/>
  <c r="BX3" i="5"/>
  <c r="BY3" i="5"/>
  <c r="BZ3" i="5"/>
  <c r="CA3" i="5"/>
  <c r="CB3" i="5"/>
  <c r="CC3" i="5"/>
  <c r="CD3" i="5"/>
  <c r="CE3" i="5"/>
  <c r="CG3" i="5"/>
  <c r="CH3" i="5"/>
  <c r="CJ3" i="5"/>
  <c r="CK3" i="5"/>
  <c r="CL3" i="5"/>
  <c r="CM3" i="5"/>
  <c r="CP3" i="5"/>
  <c r="CQ3" i="5"/>
  <c r="CR3" i="5"/>
  <c r="CS3" i="5"/>
  <c r="CT3" i="5"/>
  <c r="CU3" i="5"/>
  <c r="CV3" i="5"/>
  <c r="CW3" i="5"/>
  <c r="CX3" i="5"/>
  <c r="CY3" i="5"/>
  <c r="CZ3" i="5"/>
  <c r="DA3" i="5"/>
  <c r="DB3" i="5"/>
  <c r="DC3" i="5"/>
  <c r="DD3" i="5"/>
  <c r="DE3" i="5"/>
  <c r="L3" i="5"/>
  <c r="CP4" i="12"/>
  <c r="CM3" i="12"/>
  <c r="CL3" i="12"/>
  <c r="CO3" i="12"/>
  <c r="CP3" i="12"/>
  <c r="B3" i="12"/>
  <c r="D3" i="12"/>
  <c r="CB3" i="12"/>
  <c r="CB5" i="12" s="1"/>
  <c r="BX3" i="12"/>
  <c r="BX5" i="12" s="1"/>
  <c r="BU3" i="12"/>
  <c r="BU4" i="12" s="1"/>
  <c r="BQ3" i="12"/>
  <c r="BQ5" i="12" s="1"/>
  <c r="BP3" i="12"/>
  <c r="BP5" i="12" s="1"/>
  <c r="BO3" i="12"/>
  <c r="BO5" i="12"/>
  <c r="BN3" i="12"/>
  <c r="BN5" i="12" s="1"/>
  <c r="BM3" i="12"/>
  <c r="BM5" i="12" s="1"/>
  <c r="BL3" i="12"/>
  <c r="BL5" i="12"/>
  <c r="BK3" i="12"/>
  <c r="BK5" i="12" s="1"/>
  <c r="BJ3" i="12"/>
  <c r="BJ5" i="12" s="1"/>
  <c r="BI3" i="12"/>
  <c r="BI5" i="12" s="1"/>
  <c r="BH3" i="12"/>
  <c r="BH5" i="12" s="1"/>
  <c r="BG3" i="12"/>
  <c r="BG5" i="12"/>
  <c r="BF3" i="12"/>
  <c r="BF5" i="12" s="1"/>
  <c r="BE3" i="12"/>
  <c r="BE5" i="12" s="1"/>
  <c r="BD3" i="12"/>
  <c r="BD5" i="12"/>
  <c r="BC3" i="12"/>
  <c r="BC5" i="12" s="1"/>
  <c r="BB3" i="12"/>
  <c r="BB5" i="12" s="1"/>
  <c r="BA3" i="12"/>
  <c r="BA5" i="12" s="1"/>
  <c r="AZ3" i="12"/>
  <c r="AZ5" i="12" s="1"/>
  <c r="AY3" i="12"/>
  <c r="AY5" i="12"/>
  <c r="AX3" i="12"/>
  <c r="AX5" i="12" s="1"/>
  <c r="AW3" i="12"/>
  <c r="AW5" i="12" s="1"/>
  <c r="AV3" i="12"/>
  <c r="AV5" i="12"/>
  <c r="AU3" i="12"/>
  <c r="AU5" i="12" s="1"/>
  <c r="AT3" i="12"/>
  <c r="AT5" i="12" s="1"/>
  <c r="AS3" i="12"/>
  <c r="AS5" i="12" s="1"/>
  <c r="AR3" i="12"/>
  <c r="AR5" i="12" s="1"/>
  <c r="AQ3" i="12"/>
  <c r="AQ5" i="12"/>
  <c r="AP3" i="12"/>
  <c r="AP5" i="12" s="1"/>
  <c r="AO3" i="12"/>
  <c r="AO5" i="12" s="1"/>
  <c r="AN3" i="12"/>
  <c r="AN5" i="12"/>
  <c r="AM3" i="12"/>
  <c r="AM5" i="12" s="1"/>
  <c r="AL3" i="12"/>
  <c r="AL5" i="12" s="1"/>
  <c r="AK3" i="12"/>
  <c r="AK5" i="12" s="1"/>
  <c r="AJ3" i="12"/>
  <c r="AJ5" i="12" s="1"/>
  <c r="AI3" i="12"/>
  <c r="AI5" i="12"/>
  <c r="AH3" i="12"/>
  <c r="AH5" i="12" s="1"/>
  <c r="AG3" i="12"/>
  <c r="AG5" i="12" s="1"/>
  <c r="AF3" i="12"/>
  <c r="AF5" i="12"/>
  <c r="AE3" i="12"/>
  <c r="AE5" i="12" s="1"/>
  <c r="AD3" i="12"/>
  <c r="AD5" i="12" s="1"/>
  <c r="AC3" i="12"/>
  <c r="AC5" i="12" s="1"/>
  <c r="AB3" i="12"/>
  <c r="AB5" i="12" s="1"/>
  <c r="AA3" i="12"/>
  <c r="AA5" i="12"/>
  <c r="Z3" i="12"/>
  <c r="Z5" i="12" s="1"/>
  <c r="Y3" i="12"/>
  <c r="Y5" i="12" s="1"/>
  <c r="X3" i="12"/>
  <c r="X5" i="12"/>
  <c r="W3" i="12"/>
  <c r="W5" i="12" s="1"/>
  <c r="V3" i="12"/>
  <c r="V5" i="12" s="1"/>
  <c r="U3" i="12"/>
  <c r="U5" i="12" s="1"/>
  <c r="T3" i="12"/>
  <c r="T5" i="12" s="1"/>
  <c r="S3" i="12"/>
  <c r="S5" i="12"/>
  <c r="R3" i="12"/>
  <c r="R5" i="12" s="1"/>
  <c r="P3" i="12"/>
  <c r="P5" i="12" s="1"/>
  <c r="N3" i="12"/>
  <c r="N5" i="12"/>
  <c r="M3" i="12"/>
  <c r="M5" i="12" s="1"/>
  <c r="L3" i="12"/>
  <c r="L5" i="12" s="1"/>
  <c r="BU5" i="12"/>
  <c r="CB4" i="12"/>
  <c r="F19" i="2"/>
  <c r="E19" i="2"/>
  <c r="D19" i="2"/>
  <c r="E34" i="1"/>
  <c r="B19" i="2"/>
  <c r="E10" i="2"/>
  <c r="F16" i="2"/>
  <c r="E16" i="2"/>
  <c r="G16" i="2"/>
  <c r="G17" i="2"/>
  <c r="C17" i="2"/>
  <c r="B6" i="7"/>
  <c r="N98" i="5"/>
  <c r="L96" i="5"/>
  <c r="M97" i="5"/>
  <c r="M101" i="5"/>
  <c r="M100" i="5"/>
  <c r="L95" i="5"/>
  <c r="L94" i="5"/>
  <c r="CH1" i="8"/>
  <c r="CI1" i="8"/>
  <c r="CJ1" i="8"/>
  <c r="CK1" i="8"/>
  <c r="CL1" i="8"/>
  <c r="CM1" i="8"/>
  <c r="CN1" i="8"/>
  <c r="CO1" i="8"/>
  <c r="CP1" i="8"/>
  <c r="P11" i="4"/>
  <c r="P5" i="4"/>
  <c r="O5" i="4" s="1"/>
  <c r="P6" i="4"/>
  <c r="O6" i="4" s="1"/>
  <c r="P7" i="4"/>
  <c r="P8" i="4"/>
  <c r="O8" i="4" s="1"/>
  <c r="P9" i="4"/>
  <c r="P4" i="4"/>
  <c r="L86" i="5"/>
  <c r="N86" i="5" s="1"/>
  <c r="K13" i="4"/>
  <c r="L13" i="4"/>
  <c r="M13" i="4"/>
  <c r="N13" i="4"/>
  <c r="C12" i="4"/>
  <c r="D12" i="4"/>
  <c r="E12" i="4"/>
  <c r="F12" i="4"/>
  <c r="G12" i="4"/>
  <c r="H12" i="4"/>
  <c r="J12" i="4"/>
  <c r="K12" i="4"/>
  <c r="L12" i="4"/>
  <c r="Q12" i="4"/>
  <c r="B12" i="4"/>
  <c r="CF1" i="8"/>
  <c r="CG1" i="8"/>
  <c r="N89" i="5"/>
  <c r="O88" i="5"/>
  <c r="M87" i="5"/>
  <c r="N85" i="5"/>
  <c r="L84" i="5"/>
  <c r="DF1" i="8"/>
  <c r="CV1" i="8"/>
  <c r="BY1" i="8"/>
  <c r="CW1" i="8"/>
  <c r="CX1" i="8"/>
  <c r="CY1" i="8"/>
  <c r="CZ1" i="8"/>
  <c r="DA1" i="8"/>
  <c r="DB1" i="8"/>
  <c r="DC1" i="8"/>
  <c r="DD1" i="8"/>
  <c r="DE1" i="8"/>
  <c r="G4" i="2"/>
  <c r="G9" i="2"/>
  <c r="G8" i="2"/>
  <c r="G7" i="2"/>
  <c r="G6" i="2"/>
  <c r="O99" i="5"/>
  <c r="N93" i="5"/>
  <c r="L91" i="5"/>
  <c r="N92" i="5"/>
  <c r="O3" i="4"/>
  <c r="P10" i="4"/>
  <c r="P12" i="4" s="1"/>
  <c r="O7" i="4"/>
  <c r="O10" i="4"/>
  <c r="O12" i="4" s="1"/>
  <c r="O11" i="4"/>
  <c r="O4" i="4"/>
  <c r="O9" i="4"/>
  <c r="O81" i="5"/>
  <c r="H81" i="5" s="1"/>
  <c r="G81" i="5" s="1"/>
  <c r="DA81" i="5" s="1"/>
  <c r="J79" i="5"/>
  <c r="I79" i="5"/>
  <c r="O79" i="5" s="1"/>
  <c r="H79" i="5" s="1"/>
  <c r="K79" i="5"/>
  <c r="K78" i="5"/>
  <c r="J78" i="5" s="1"/>
  <c r="I78" i="5" s="1"/>
  <c r="BR1" i="8"/>
  <c r="BS1" i="8"/>
  <c r="BT1" i="8"/>
  <c r="BU1" i="8"/>
  <c r="BW1" i="8"/>
  <c r="BX1" i="8"/>
  <c r="BZ1" i="8"/>
  <c r="CA1" i="8"/>
  <c r="CB1" i="8"/>
  <c r="CC1" i="8"/>
  <c r="CQ1" i="8"/>
  <c r="CR1" i="8"/>
  <c r="CS1" i="8"/>
  <c r="CT1" i="8"/>
  <c r="CU1" i="8"/>
  <c r="K1" i="8"/>
  <c r="L1" i="8"/>
  <c r="M1" i="8"/>
  <c r="N1" i="8"/>
  <c r="O1" i="8"/>
  <c r="P1" i="8"/>
  <c r="Q1" i="8"/>
  <c r="R1" i="8"/>
  <c r="S1" i="8"/>
  <c r="T1" i="8"/>
  <c r="U1" i="8"/>
  <c r="V1" i="8"/>
  <c r="W1" i="8"/>
  <c r="X1" i="8"/>
  <c r="Y1" i="8"/>
  <c r="Z1" i="8"/>
  <c r="AA1" i="8"/>
  <c r="AB1" i="8"/>
  <c r="AC1" i="8"/>
  <c r="AD1" i="8"/>
  <c r="AE1" i="8"/>
  <c r="AF1" i="8"/>
  <c r="AG1" i="8"/>
  <c r="AH1" i="8"/>
  <c r="AI1" i="8"/>
  <c r="AJ1" i="8"/>
  <c r="AK1" i="8"/>
  <c r="AL1" i="8"/>
  <c r="AM1" i="8"/>
  <c r="AN1" i="8"/>
  <c r="AO1" i="8"/>
  <c r="AP1" i="8"/>
  <c r="AQ1" i="8"/>
  <c r="AR1" i="8"/>
  <c r="AS1" i="8"/>
  <c r="AT1" i="8"/>
  <c r="AU1" i="8"/>
  <c r="AV1" i="8"/>
  <c r="AW1" i="8"/>
  <c r="AX1" i="8"/>
  <c r="AY1" i="8"/>
  <c r="AZ1" i="8"/>
  <c r="BA1" i="8"/>
  <c r="BB1" i="8"/>
  <c r="BC1" i="8"/>
  <c r="BD1" i="8"/>
  <c r="BE1" i="8"/>
  <c r="BF1" i="8"/>
  <c r="BG1" i="8"/>
  <c r="BH1" i="8"/>
  <c r="BI1" i="8"/>
  <c r="BJ1" i="8"/>
  <c r="BK1" i="8"/>
  <c r="BL1" i="8"/>
  <c r="BM1" i="8"/>
  <c r="BN1" i="8"/>
  <c r="BO1" i="8"/>
  <c r="BP1" i="8"/>
  <c r="BQ1" i="8"/>
  <c r="J1" i="8"/>
  <c r="E65" i="5"/>
  <c r="E66" i="5"/>
  <c r="E69" i="5"/>
  <c r="E71" i="5"/>
  <c r="K63" i="5"/>
  <c r="J63" i="5" s="1"/>
  <c r="K58" i="5"/>
  <c r="J58" i="5" s="1"/>
  <c r="K53" i="5"/>
  <c r="J53" i="5" s="1"/>
  <c r="K48" i="5"/>
  <c r="J48" i="5" s="1"/>
  <c r="J62" i="5"/>
  <c r="I62" i="5" s="1"/>
  <c r="O62" i="5" s="1"/>
  <c r="J61" i="5"/>
  <c r="P61" i="5" s="1"/>
  <c r="I61" i="5"/>
  <c r="O61" i="5" s="1"/>
  <c r="J60" i="5"/>
  <c r="P60" i="5" s="1"/>
  <c r="J59" i="5"/>
  <c r="I59" i="5" s="1"/>
  <c r="O59" i="5" s="1"/>
  <c r="J57" i="5"/>
  <c r="I57" i="5"/>
  <c r="N57" i="5" s="1"/>
  <c r="J56" i="5"/>
  <c r="I56" i="5" s="1"/>
  <c r="N56" i="5" s="1"/>
  <c r="J55" i="5"/>
  <c r="I55" i="5" s="1"/>
  <c r="N55" i="5" s="1"/>
  <c r="J54" i="5"/>
  <c r="Q54" i="5"/>
  <c r="J52" i="5"/>
  <c r="P52" i="5" s="1"/>
  <c r="J51" i="5"/>
  <c r="P51" i="5" s="1"/>
  <c r="J50" i="5"/>
  <c r="I50" i="5"/>
  <c r="M50" i="5"/>
  <c r="J49" i="5"/>
  <c r="P49" i="5" s="1"/>
  <c r="I49" i="5"/>
  <c r="M49" i="5" s="1"/>
  <c r="J47" i="5"/>
  <c r="I47" i="5" s="1"/>
  <c r="J46" i="5"/>
  <c r="I46" i="5"/>
  <c r="J45" i="5"/>
  <c r="Q45" i="5" s="1"/>
  <c r="I45" i="5"/>
  <c r="J44" i="5"/>
  <c r="Q44" i="5" s="1"/>
  <c r="Q57" i="5"/>
  <c r="L46" i="5"/>
  <c r="M46" i="5"/>
  <c r="Q46" i="5"/>
  <c r="P59" i="5"/>
  <c r="I54" i="5"/>
  <c r="N54" i="5" s="1"/>
  <c r="L47" i="5"/>
  <c r="P50" i="5"/>
  <c r="M47" i="5"/>
  <c r="K43" i="5"/>
  <c r="J43" i="5" s="1"/>
  <c r="J42" i="5"/>
  <c r="I42" i="5" s="1"/>
  <c r="O42" i="5" s="1"/>
  <c r="J41" i="5"/>
  <c r="P41" i="5" s="1"/>
  <c r="I41" i="5"/>
  <c r="O41" i="5" s="1"/>
  <c r="J40" i="5"/>
  <c r="I40" i="5" s="1"/>
  <c r="O40" i="5" s="1"/>
  <c r="J39" i="5"/>
  <c r="I39" i="5" s="1"/>
  <c r="O39" i="5" s="1"/>
  <c r="K38" i="5"/>
  <c r="J38" i="5"/>
  <c r="Q38" i="5" s="1"/>
  <c r="J37" i="5"/>
  <c r="I37" i="5" s="1"/>
  <c r="N37" i="5" s="1"/>
  <c r="J36" i="5"/>
  <c r="I36" i="5"/>
  <c r="N36" i="5" s="1"/>
  <c r="J35" i="5"/>
  <c r="Q35" i="5" s="1"/>
  <c r="I35" i="5"/>
  <c r="N35" i="5" s="1"/>
  <c r="J34" i="5"/>
  <c r="I34" i="5" s="1"/>
  <c r="N34" i="5" s="1"/>
  <c r="Q36" i="5"/>
  <c r="P39" i="5"/>
  <c r="P40" i="5"/>
  <c r="K33" i="5"/>
  <c r="J33" i="5" s="1"/>
  <c r="J32" i="5"/>
  <c r="I32" i="5" s="1"/>
  <c r="M32" i="5" s="1"/>
  <c r="J31" i="5"/>
  <c r="P31" i="5" s="1"/>
  <c r="K28" i="5"/>
  <c r="J28" i="5" s="1"/>
  <c r="J27" i="5"/>
  <c r="M27" i="5" s="1"/>
  <c r="J26" i="5"/>
  <c r="L26" i="5" s="1"/>
  <c r="M26" i="5"/>
  <c r="J30" i="5"/>
  <c r="I30" i="5" s="1"/>
  <c r="M30" i="5" s="1"/>
  <c r="J29" i="5"/>
  <c r="P29" i="5" s="1"/>
  <c r="J25" i="5"/>
  <c r="L25" i="5" s="1"/>
  <c r="Q25" i="5"/>
  <c r="M8" i="5"/>
  <c r="M7" i="5"/>
  <c r="M6" i="5"/>
  <c r="L8" i="5"/>
  <c r="L7" i="5"/>
  <c r="L6" i="5"/>
  <c r="Q8" i="5"/>
  <c r="Q7" i="5"/>
  <c r="Q6" i="5"/>
  <c r="Q15" i="5"/>
  <c r="J24" i="5"/>
  <c r="I24" i="5" s="1"/>
  <c r="G69" i="5"/>
  <c r="DC69" i="5" s="1"/>
  <c r="G71" i="5"/>
  <c r="DC71" i="5" s="1"/>
  <c r="G72" i="5"/>
  <c r="DC72" i="5" s="1"/>
  <c r="G75" i="5"/>
  <c r="DC75" i="5" s="1"/>
  <c r="G77" i="5"/>
  <c r="DC77" i="5" s="1"/>
  <c r="E91" i="5"/>
  <c r="E92" i="5"/>
  <c r="E93" i="5"/>
  <c r="E95" i="5"/>
  <c r="E96" i="5"/>
  <c r="E97" i="5"/>
  <c r="E98" i="5"/>
  <c r="E99" i="5"/>
  <c r="E100" i="5"/>
  <c r="E101" i="5"/>
  <c r="E102" i="5"/>
  <c r="E103" i="5"/>
  <c r="E2" i="3"/>
  <c r="F2" i="3"/>
  <c r="G2" i="3"/>
  <c r="E78"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79" i="5"/>
  <c r="E81" i="5"/>
  <c r="E72" i="5"/>
  <c r="E75" i="5"/>
  <c r="E77" i="5"/>
  <c r="E84" i="5"/>
  <c r="E85" i="5"/>
  <c r="E86" i="5"/>
  <c r="E87" i="5"/>
  <c r="E88" i="5"/>
  <c r="E89" i="5"/>
  <c r="E90" i="5"/>
  <c r="C1" i="8"/>
  <c r="D1" i="8"/>
  <c r="E1" i="8"/>
  <c r="F1" i="8"/>
  <c r="H1" i="8"/>
  <c r="I1" i="8"/>
  <c r="K23" i="5"/>
  <c r="J23" i="5"/>
  <c r="I23" i="5" s="1"/>
  <c r="M23" i="5" s="1"/>
  <c r="J22" i="5"/>
  <c r="P22" i="5" s="1"/>
  <c r="I22" i="5"/>
  <c r="M22" i="5"/>
  <c r="J21" i="5"/>
  <c r="I21" i="5" s="1"/>
  <c r="M21" i="5" s="1"/>
  <c r="J16" i="5"/>
  <c r="Q16" i="5" s="1"/>
  <c r="J20" i="5"/>
  <c r="P20" i="5" s="1"/>
  <c r="I20" i="5"/>
  <c r="M20" i="5" s="1"/>
  <c r="J19" i="5"/>
  <c r="P19" i="5" s="1"/>
  <c r="K18" i="5"/>
  <c r="J18" i="5"/>
  <c r="Q18" i="5" s="1"/>
  <c r="K17" i="5"/>
  <c r="J17" i="5"/>
  <c r="Q17" i="5" s="1"/>
  <c r="I15" i="5"/>
  <c r="N15" i="5" s="1"/>
  <c r="J14" i="5"/>
  <c r="I14" i="5"/>
  <c r="N14" i="5"/>
  <c r="J13" i="5"/>
  <c r="I13" i="5" s="1"/>
  <c r="M13" i="5" s="1"/>
  <c r="J12" i="5"/>
  <c r="I12" i="5" s="1"/>
  <c r="M12" i="5" s="1"/>
  <c r="K10" i="5"/>
  <c r="J10" i="5" s="1"/>
  <c r="J11" i="5"/>
  <c r="I11" i="5" s="1"/>
  <c r="M11" i="5" s="1"/>
  <c r="J9" i="5"/>
  <c r="I9" i="5" s="1"/>
  <c r="M9" i="5" s="1"/>
  <c r="E14" i="5"/>
  <c r="E15" i="5"/>
  <c r="E16" i="5"/>
  <c r="E17" i="5"/>
  <c r="E18" i="5"/>
  <c r="E19" i="5"/>
  <c r="E20" i="5"/>
  <c r="E21" i="5"/>
  <c r="E22" i="5"/>
  <c r="E23" i="5"/>
  <c r="E14" i="2"/>
  <c r="E13" i="2"/>
  <c r="E12" i="2"/>
  <c r="E11" i="2"/>
  <c r="P32" i="5"/>
  <c r="I31" i="5"/>
  <c r="M31" i="5"/>
  <c r="Q27" i="5"/>
  <c r="L24" i="5"/>
  <c r="M24" i="5"/>
  <c r="P12" i="5"/>
  <c r="Q14" i="5"/>
  <c r="I25" i="5"/>
  <c r="I18" i="5"/>
  <c r="N18" i="5" s="1"/>
  <c r="C6" i="7"/>
  <c r="E5" i="5"/>
  <c r="E6" i="5"/>
  <c r="E7" i="5"/>
  <c r="E8" i="5"/>
  <c r="E9" i="5"/>
  <c r="E10" i="5"/>
  <c r="E11" i="5"/>
  <c r="E12" i="5"/>
  <c r="E13" i="5"/>
  <c r="E4" i="5"/>
  <c r="B1" i="8"/>
  <c r="K5" i="5"/>
  <c r="J5" i="5" s="1"/>
  <c r="J4" i="5"/>
  <c r="L4" i="5" s="1"/>
  <c r="I6" i="5"/>
  <c r="I7" i="5"/>
  <c r="I8" i="5"/>
  <c r="A11" i="7"/>
  <c r="A12" i="7"/>
  <c r="A13" i="7"/>
  <c r="A14" i="7"/>
  <c r="A15" i="7"/>
  <c r="A16" i="7"/>
  <c r="A17" i="7"/>
  <c r="A18" i="7"/>
  <c r="A10" i="7"/>
  <c r="M4" i="5"/>
  <c r="Q4" i="5"/>
  <c r="F14" i="2"/>
  <c r="F13" i="2"/>
  <c r="F12" i="2"/>
  <c r="F11" i="2"/>
  <c r="F10" i="2"/>
  <c r="F16" i="3"/>
  <c r="B2" i="3"/>
  <c r="C2" i="3"/>
  <c r="D2" i="3"/>
  <c r="D16" i="3"/>
  <c r="C16" i="3"/>
  <c r="A7" i="3"/>
  <c r="A8" i="3"/>
  <c r="A9" i="3"/>
  <c r="A10" i="3"/>
  <c r="A11" i="3"/>
  <c r="A4" i="3"/>
  <c r="A12" i="3"/>
  <c r="A5" i="3"/>
  <c r="A6" i="3"/>
  <c r="E16" i="3"/>
  <c r="B16" i="3"/>
  <c r="A19" i="3"/>
  <c r="A17" i="3"/>
  <c r="A22" i="3"/>
  <c r="A18" i="3"/>
  <c r="A20" i="3"/>
  <c r="A21" i="3"/>
  <c r="G66" i="5"/>
  <c r="P66" i="5" s="1"/>
  <c r="P13" i="4" l="1"/>
  <c r="Q13" i="4"/>
  <c r="O13" i="4"/>
  <c r="H46" i="5"/>
  <c r="G46" i="5" s="1"/>
  <c r="DE46" i="5" s="1"/>
  <c r="H18" i="5"/>
  <c r="G18" i="5" s="1"/>
  <c r="DE18" i="5" s="1"/>
  <c r="H6" i="5"/>
  <c r="G6" i="5" s="1"/>
  <c r="DE6" i="5" s="1"/>
  <c r="H22" i="5"/>
  <c r="G22" i="5" s="1"/>
  <c r="DE22" i="5" s="1"/>
  <c r="H39" i="5"/>
  <c r="G39" i="5" s="1"/>
  <c r="DE39" i="5" s="1"/>
  <c r="H57" i="5"/>
  <c r="G57" i="5" s="1"/>
  <c r="DE57" i="5" s="1"/>
  <c r="H36" i="5"/>
  <c r="G36" i="5" s="1"/>
  <c r="DE36" i="5" s="1"/>
  <c r="H14" i="5"/>
  <c r="G14" i="5" s="1"/>
  <c r="DE14" i="5" s="1"/>
  <c r="H61" i="5"/>
  <c r="G61" i="5" s="1"/>
  <c r="DE61" i="5" s="1"/>
  <c r="H32" i="5"/>
  <c r="G32" i="5" s="1"/>
  <c r="DE32" i="5" s="1"/>
  <c r="H7" i="5"/>
  <c r="G7" i="5" s="1"/>
  <c r="DE7" i="5" s="1"/>
  <c r="H49" i="5"/>
  <c r="G49" i="5" s="1"/>
  <c r="DE49" i="5" s="1"/>
  <c r="C12" i="1"/>
  <c r="G12" i="1" s="1"/>
  <c r="D19" i="1"/>
  <c r="B21" i="7"/>
  <c r="C6" i="1" s="1"/>
  <c r="H2" i="7"/>
  <c r="I53" i="5"/>
  <c r="M53" i="5" s="1"/>
  <c r="P53" i="5"/>
  <c r="P10" i="5"/>
  <c r="I10" i="5"/>
  <c r="M10" i="5" s="1"/>
  <c r="H41" i="5"/>
  <c r="G41" i="5" s="1"/>
  <c r="DE41" i="5" s="1"/>
  <c r="Q5" i="5"/>
  <c r="M5" i="5"/>
  <c r="I5" i="5"/>
  <c r="H54" i="5"/>
  <c r="G54" i="5" s="1"/>
  <c r="DE54" i="5" s="1"/>
  <c r="H50" i="5"/>
  <c r="G50" i="5" s="1"/>
  <c r="DE50" i="5" s="1"/>
  <c r="P13" i="5"/>
  <c r="H13" i="5" s="1"/>
  <c r="G13" i="5" s="1"/>
  <c r="DE13" i="5" s="1"/>
  <c r="H15" i="5"/>
  <c r="G15" i="5" s="1"/>
  <c r="DE15" i="5" s="1"/>
  <c r="P23" i="5"/>
  <c r="H23" i="5" s="1"/>
  <c r="G23" i="5" s="1"/>
  <c r="DE23" i="5" s="1"/>
  <c r="H8" i="5"/>
  <c r="G8" i="5" s="1"/>
  <c r="DE8" i="5" s="1"/>
  <c r="L27" i="5"/>
  <c r="H27" i="5" s="1"/>
  <c r="G27" i="5" s="1"/>
  <c r="DE27" i="5" s="1"/>
  <c r="P21" i="5"/>
  <c r="H21" i="5" s="1"/>
  <c r="G21" i="5" s="1"/>
  <c r="DE21" i="5" s="1"/>
  <c r="H40" i="5"/>
  <c r="G40" i="5" s="1"/>
  <c r="DE40" i="5" s="1"/>
  <c r="P30" i="5"/>
  <c r="H30" i="5" s="1"/>
  <c r="G30" i="5" s="1"/>
  <c r="DE30" i="5" s="1"/>
  <c r="I29" i="5"/>
  <c r="M29" i="5" s="1"/>
  <c r="H29" i="5" s="1"/>
  <c r="G29" i="5" s="1"/>
  <c r="DE29" i="5" s="1"/>
  <c r="H4" i="5"/>
  <c r="G4" i="5" s="1"/>
  <c r="DE4" i="5" s="1"/>
  <c r="I19" i="5"/>
  <c r="M19" i="5" s="1"/>
  <c r="H19" i="5" s="1"/>
  <c r="G19" i="5" s="1"/>
  <c r="DE19" i="5" s="1"/>
  <c r="Q24" i="5"/>
  <c r="H24" i="5" s="1"/>
  <c r="G24" i="5" s="1"/>
  <c r="DE24" i="5" s="1"/>
  <c r="H12" i="5"/>
  <c r="G12" i="5" s="1"/>
  <c r="DE12" i="5" s="1"/>
  <c r="I16" i="5"/>
  <c r="N16" i="5" s="1"/>
  <c r="H16" i="5" s="1"/>
  <c r="G16" i="5" s="1"/>
  <c r="DE16" i="5" s="1"/>
  <c r="Q34" i="5"/>
  <c r="H34" i="5" s="1"/>
  <c r="G34" i="5" s="1"/>
  <c r="DE34" i="5" s="1"/>
  <c r="Q47" i="5"/>
  <c r="H47" i="5" s="1"/>
  <c r="G47" i="5" s="1"/>
  <c r="DE47" i="5" s="1"/>
  <c r="I52" i="5"/>
  <c r="M52" i="5" s="1"/>
  <c r="H52" i="5" s="1"/>
  <c r="G52" i="5" s="1"/>
  <c r="DE52" i="5" s="1"/>
  <c r="I38" i="5"/>
  <c r="N38" i="5" s="1"/>
  <c r="H38" i="5" s="1"/>
  <c r="G38" i="5" s="1"/>
  <c r="DE38" i="5" s="1"/>
  <c r="P11" i="5"/>
  <c r="H11" i="5" s="1"/>
  <c r="G11" i="5" s="1"/>
  <c r="DE11" i="5" s="1"/>
  <c r="P9" i="5"/>
  <c r="H9" i="5" s="1"/>
  <c r="G9" i="5" s="1"/>
  <c r="DE9" i="5" s="1"/>
  <c r="P42" i="5"/>
  <c r="H42" i="5" s="1"/>
  <c r="G42" i="5" s="1"/>
  <c r="DE42" i="5" s="1"/>
  <c r="H59" i="5"/>
  <c r="G59" i="5" s="1"/>
  <c r="DE59" i="5" s="1"/>
  <c r="G79" i="5"/>
  <c r="DD79" i="5" s="1"/>
  <c r="Q58" i="5"/>
  <c r="I58" i="5"/>
  <c r="N58" i="5" s="1"/>
  <c r="P63" i="5"/>
  <c r="I63" i="5"/>
  <c r="O63" i="5" s="1"/>
  <c r="M28" i="5"/>
  <c r="I28" i="5"/>
  <c r="L28" i="5"/>
  <c r="H10" i="5"/>
  <c r="G10" i="5" s="1"/>
  <c r="DE10" i="5" s="1"/>
  <c r="H31" i="5"/>
  <c r="G31" i="5" s="1"/>
  <c r="DE31" i="5" s="1"/>
  <c r="H20" i="5"/>
  <c r="G20" i="5" s="1"/>
  <c r="DE20" i="5" s="1"/>
  <c r="P33" i="5"/>
  <c r="I33" i="5"/>
  <c r="M33" i="5" s="1"/>
  <c r="O78" i="5"/>
  <c r="N78" i="5"/>
  <c r="H35" i="5"/>
  <c r="G35" i="5" s="1"/>
  <c r="DE35" i="5" s="1"/>
  <c r="I43" i="5"/>
  <c r="O43" i="5" s="1"/>
  <c r="P43" i="5"/>
  <c r="I48" i="5"/>
  <c r="L48" i="5"/>
  <c r="M48" i="5"/>
  <c r="N82" i="5"/>
  <c r="O82" i="5"/>
  <c r="I60" i="5"/>
  <c r="O60" i="5" s="1"/>
  <c r="H60" i="5" s="1"/>
  <c r="G60" i="5" s="1"/>
  <c r="DE60" i="5" s="1"/>
  <c r="L44" i="5"/>
  <c r="Q56" i="5"/>
  <c r="H56" i="5" s="1"/>
  <c r="G56" i="5" s="1"/>
  <c r="DE56" i="5" s="1"/>
  <c r="I17" i="5"/>
  <c r="N17" i="5" s="1"/>
  <c r="H17" i="5" s="1"/>
  <c r="G17" i="5" s="1"/>
  <c r="DE17" i="5" s="1"/>
  <c r="I44" i="5"/>
  <c r="I26" i="5"/>
  <c r="I4" i="5"/>
  <c r="I27" i="5"/>
  <c r="Q37" i="5"/>
  <c r="H37" i="5" s="1"/>
  <c r="G37" i="5" s="1"/>
  <c r="DE37" i="5" s="1"/>
  <c r="M45" i="5"/>
  <c r="Q55" i="5"/>
  <c r="H55" i="5" s="1"/>
  <c r="G55" i="5" s="1"/>
  <c r="DE55" i="5" s="1"/>
  <c r="P62" i="5"/>
  <c r="H62" i="5" s="1"/>
  <c r="G62" i="5" s="1"/>
  <c r="DE62" i="5" s="1"/>
  <c r="Q26" i="5"/>
  <c r="H26" i="5" s="1"/>
  <c r="G26" i="5" s="1"/>
  <c r="DE26" i="5" s="1"/>
  <c r="M44" i="5"/>
  <c r="L5" i="5"/>
  <c r="M25" i="5"/>
  <c r="H25" i="5" s="1"/>
  <c r="G25" i="5" s="1"/>
  <c r="DE25" i="5" s="1"/>
  <c r="I51" i="5"/>
  <c r="M51" i="5" s="1"/>
  <c r="H51" i="5" s="1"/>
  <c r="G51" i="5" s="1"/>
  <c r="DE51" i="5" s="1"/>
  <c r="L45" i="5"/>
  <c r="BV5" i="12"/>
  <c r="G74" i="5"/>
  <c r="DC74" i="5" s="1"/>
  <c r="G68" i="5"/>
  <c r="DC68" i="5" s="1"/>
  <c r="C10" i="1"/>
  <c r="I12" i="4"/>
  <c r="D6" i="7"/>
  <c r="D5" i="7"/>
  <c r="E22" i="1"/>
  <c r="E5" i="7" s="1"/>
  <c r="C18" i="7"/>
  <c r="DF66" i="5"/>
  <c r="DF67" i="5"/>
  <c r="D9" i="1"/>
  <c r="C19" i="1"/>
  <c r="G5" i="7"/>
  <c r="C14" i="7"/>
  <c r="C13" i="7"/>
  <c r="C17" i="1"/>
  <c r="G17" i="1" s="1"/>
  <c r="C17" i="7"/>
  <c r="C16" i="7"/>
  <c r="C12" i="7"/>
  <c r="C10" i="7"/>
  <c r="C15" i="7"/>
  <c r="C11" i="7"/>
  <c r="C11" i="1"/>
  <c r="C18" i="1"/>
  <c r="C16" i="1"/>
  <c r="B4" i="7"/>
  <c r="C15" i="1"/>
  <c r="C14" i="1"/>
  <c r="C13" i="1"/>
  <c r="E12" i="1" l="1"/>
  <c r="H5" i="5"/>
  <c r="G5" i="5" s="1"/>
  <c r="DE5" i="5" s="1"/>
  <c r="H48" i="5"/>
  <c r="G48" i="5" s="1"/>
  <c r="DE48" i="5" s="1"/>
  <c r="H43" i="5"/>
  <c r="G43" i="5" s="1"/>
  <c r="DE43" i="5" s="1"/>
  <c r="B22" i="7"/>
  <c r="H63" i="5"/>
  <c r="G63" i="5" s="1"/>
  <c r="DE63" i="5" s="1"/>
  <c r="H58" i="5"/>
  <c r="G58" i="5" s="1"/>
  <c r="DE58" i="5" s="1"/>
  <c r="H53" i="5"/>
  <c r="G53" i="5" s="1"/>
  <c r="DE53" i="5" s="1"/>
  <c r="H33" i="5"/>
  <c r="G33" i="5" s="1"/>
  <c r="DE33" i="5" s="1"/>
  <c r="H28" i="5"/>
  <c r="G28" i="5" s="1"/>
  <c r="DE28" i="5" s="1"/>
  <c r="H44" i="5"/>
  <c r="G44" i="5" s="1"/>
  <c r="DE44" i="5" s="1"/>
  <c r="H45" i="5"/>
  <c r="G45" i="5" s="1"/>
  <c r="DE45" i="5" s="1"/>
  <c r="H82" i="5"/>
  <c r="G82" i="5" s="1"/>
  <c r="DD82" i="5" s="1"/>
  <c r="H78" i="5"/>
  <c r="G78" i="5" s="1"/>
  <c r="DD78" i="5" s="1"/>
  <c r="E17" i="1"/>
  <c r="E15" i="1"/>
  <c r="G15" i="1"/>
  <c r="G15" i="7" s="1"/>
  <c r="G13" i="1"/>
  <c r="G13" i="7" s="1"/>
  <c r="E13" i="1"/>
  <c r="E11" i="1"/>
  <c r="G11" i="1"/>
  <c r="G11" i="7" s="1"/>
  <c r="C4" i="7"/>
  <c r="G16" i="1"/>
  <c r="G16" i="7" s="1"/>
  <c r="E16" i="1"/>
  <c r="B10" i="7"/>
  <c r="B18" i="7"/>
  <c r="D15" i="7"/>
  <c r="B11" i="7"/>
  <c r="D12" i="7"/>
  <c r="G10" i="1"/>
  <c r="G10" i="7" s="1"/>
  <c r="B12" i="7"/>
  <c r="E10" i="1"/>
  <c r="D11" i="7"/>
  <c r="B13" i="7"/>
  <c r="D18" i="7"/>
  <c r="B14" i="7"/>
  <c r="D17" i="7"/>
  <c r="D13" i="7"/>
  <c r="G12" i="7"/>
  <c r="B15" i="7"/>
  <c r="D16" i="7"/>
  <c r="B16" i="7"/>
  <c r="D10" i="7"/>
  <c r="G17" i="7"/>
  <c r="B17" i="7"/>
  <c r="D14" i="7"/>
  <c r="E18" i="1"/>
  <c r="G18" i="1"/>
  <c r="G18" i="7" s="1"/>
  <c r="G14" i="1"/>
  <c r="G14" i="7" s="1"/>
  <c r="E14" i="1"/>
  <c r="C20" i="1" l="1"/>
  <c r="C27" i="1" s="1"/>
  <c r="E11" i="7"/>
  <c r="E13" i="7"/>
  <c r="E14" i="7"/>
  <c r="D4" i="7"/>
  <c r="J2" i="7"/>
  <c r="B2" i="7" s="1"/>
  <c r="E17" i="7"/>
  <c r="E16" i="7"/>
  <c r="E18" i="7"/>
  <c r="E12" i="7"/>
  <c r="E10" i="7"/>
  <c r="O4" i="7" a="1"/>
  <c r="O4" i="7" s="1"/>
  <c r="N4" i="7" a="1"/>
  <c r="N4" i="7" s="1"/>
  <c r="E15" i="7"/>
  <c r="J2" i="8" l="1"/>
  <c r="R2" i="8"/>
  <c r="Z2" i="8"/>
  <c r="AH2" i="8"/>
  <c r="AP2" i="8"/>
  <c r="AX2" i="8"/>
  <c r="BF2" i="8"/>
  <c r="BN2" i="8"/>
  <c r="BV2" i="8"/>
  <c r="CD2" i="8"/>
  <c r="CL2" i="8"/>
  <c r="AR2" i="8"/>
  <c r="BP2" i="8"/>
  <c r="CF2" i="8"/>
  <c r="M2" i="8"/>
  <c r="AK2" i="8"/>
  <c r="BQ2" i="8"/>
  <c r="CO2" i="8"/>
  <c r="AD2" i="8"/>
  <c r="BB2" i="8"/>
  <c r="BR2" i="8"/>
  <c r="BZ2" i="8"/>
  <c r="O2" i="8"/>
  <c r="AM2" i="8"/>
  <c r="BC2" i="8"/>
  <c r="CA2" i="8"/>
  <c r="BY2" i="8"/>
  <c r="AF2" i="8"/>
  <c r="BD2" i="8"/>
  <c r="BT2" i="8"/>
  <c r="Q2" i="8"/>
  <c r="AO2" i="8"/>
  <c r="BM2" i="8"/>
  <c r="K2" i="8"/>
  <c r="S2" i="8"/>
  <c r="AA2" i="8"/>
  <c r="AI2" i="8"/>
  <c r="AQ2" i="8"/>
  <c r="AY2" i="8"/>
  <c r="BG2" i="8"/>
  <c r="BO2" i="8"/>
  <c r="BW2" i="8"/>
  <c r="CE2" i="8"/>
  <c r="CM2" i="8"/>
  <c r="AZ2" i="8"/>
  <c r="BX2" i="8"/>
  <c r="U2" i="8"/>
  <c r="AS2" i="8"/>
  <c r="BI2" i="8"/>
  <c r="N2" i="8"/>
  <c r="AL2" i="8"/>
  <c r="BJ2" i="8"/>
  <c r="W2" i="8"/>
  <c r="AE2" i="8"/>
  <c r="BS2" i="8"/>
  <c r="X2" i="8"/>
  <c r="AN2" i="8"/>
  <c r="CB2" i="8"/>
  <c r="Y2" i="8"/>
  <c r="AW2" i="8"/>
  <c r="BU2" i="8"/>
  <c r="L2" i="8"/>
  <c r="T2" i="8"/>
  <c r="AB2" i="8"/>
  <c r="AJ2" i="8"/>
  <c r="BH2" i="8"/>
  <c r="CN2" i="8"/>
  <c r="AC2" i="8"/>
  <c r="BA2" i="8"/>
  <c r="V2" i="8"/>
  <c r="AT2" i="8"/>
  <c r="AU2" i="8"/>
  <c r="BK2" i="8"/>
  <c r="P2" i="8"/>
  <c r="AV2" i="8"/>
  <c r="BL2" i="8"/>
  <c r="CJ2" i="8"/>
  <c r="AG2" i="8"/>
  <c r="BE2" i="8"/>
  <c r="CC2" i="8"/>
  <c r="BY6" i="8"/>
  <c r="CU4" i="8"/>
  <c r="CQ4" i="8"/>
  <c r="CS4" i="8"/>
  <c r="CT4" i="8"/>
  <c r="CV4" i="8"/>
  <c r="CZ4" i="8"/>
  <c r="CA6" i="8"/>
  <c r="CW4" i="8"/>
  <c r="DD4" i="8"/>
  <c r="K2" i="7"/>
  <c r="BR6" i="8"/>
  <c r="CB6" i="8"/>
  <c r="BS6" i="8"/>
  <c r="BX6" i="8"/>
  <c r="CD6" i="8"/>
  <c r="DB4" i="8"/>
  <c r="DE4" i="8"/>
  <c r="BV6" i="8"/>
  <c r="BZ6" i="8"/>
  <c r="DA4" i="8"/>
  <c r="BW6" i="8"/>
  <c r="DF4" i="8"/>
  <c r="CE6" i="8"/>
  <c r="CX4" i="8"/>
  <c r="DC4" i="8"/>
  <c r="BU6" i="8"/>
  <c r="CC6" i="8"/>
  <c r="CY4" i="8"/>
  <c r="BT6" i="8"/>
  <c r="CW91" i="5"/>
  <c r="CV97" i="5"/>
  <c r="CU96" i="5"/>
  <c r="CV101" i="5"/>
  <c r="CU90" i="5"/>
  <c r="CU100" i="5"/>
  <c r="CU94" i="5"/>
  <c r="CK2" i="8" s="1"/>
  <c r="CW95" i="5"/>
  <c r="E4" i="7"/>
  <c r="F19" i="1" s="1"/>
  <c r="CZ92" i="5"/>
  <c r="CY93" i="5"/>
  <c r="CX99" i="5"/>
  <c r="CZ98" i="5"/>
  <c r="CZ100" i="5"/>
  <c r="CZ94" i="5"/>
  <c r="CP2" i="8" s="1"/>
  <c r="K10" i="7" l="1"/>
  <c r="K11" i="7"/>
  <c r="K15" i="7"/>
  <c r="K12" i="7"/>
  <c r="K16" i="7"/>
  <c r="K13" i="7"/>
  <c r="K14" i="7"/>
  <c r="K17" i="7"/>
  <c r="K18" i="7"/>
  <c r="L2" i="7"/>
  <c r="O2" i="7" s="1"/>
  <c r="D2" i="8" s="1"/>
  <c r="D6" i="8" s="1"/>
  <c r="M4" i="7" l="1" a="1"/>
  <c r="M4" i="7" s="1"/>
  <c r="G86" i="5" s="1"/>
  <c r="M2" i="7"/>
  <c r="B2" i="8" s="1"/>
  <c r="B6" i="8" s="1"/>
  <c r="N2" i="7"/>
  <c r="C2" i="8" s="1"/>
  <c r="C6" i="8" s="1"/>
  <c r="P2" i="7"/>
  <c r="E2" i="8" s="1"/>
  <c r="E6" i="8" s="1"/>
  <c r="G100" i="5"/>
  <c r="G98" i="5"/>
  <c r="G95" i="5"/>
  <c r="G89" i="5"/>
  <c r="G94" i="5"/>
  <c r="G99" i="5"/>
  <c r="G84" i="5"/>
  <c r="G101" i="5"/>
  <c r="G85" i="5"/>
  <c r="CP85" i="5" s="1"/>
  <c r="H85" i="5" s="1"/>
  <c r="G96" i="5"/>
  <c r="G88" i="5" l="1"/>
  <c r="CP88" i="5" s="1"/>
  <c r="H88" i="5" s="1"/>
  <c r="G93" i="5"/>
  <c r="G87" i="5"/>
  <c r="CQ87" i="5" s="1"/>
  <c r="G91" i="5"/>
  <c r="G92" i="5"/>
  <c r="G97" i="5"/>
  <c r="G90" i="5"/>
  <c r="C10" i="11"/>
  <c r="CQ84" i="5"/>
  <c r="CR89" i="5"/>
  <c r="CH2" i="8" s="1"/>
  <c r="CS86" i="5"/>
  <c r="H86" i="5" l="1"/>
  <c r="CI2" i="8"/>
  <c r="H84" i="5"/>
  <c r="CG2" i="8"/>
  <c r="H89" i="5"/>
  <c r="H87" i="5"/>
  <c r="B10" i="11"/>
  <c r="F10" i="11"/>
  <c r="H104" i="5" l="1"/>
  <c r="G104" i="5" s="1"/>
  <c r="G65" i="5" l="1"/>
  <c r="DB65" i="5" s="1"/>
  <c r="G64" i="5" l="1"/>
  <c r="D38" i="1"/>
  <c r="DB64" i="5" l="1"/>
  <c r="CR4" i="8" s="1"/>
  <c r="L18" i="7"/>
  <c r="J18" i="7" s="1"/>
  <c r="L11" i="7"/>
  <c r="J11" i="7" s="1"/>
  <c r="L10" i="7"/>
  <c r="J10" i="7" s="1"/>
  <c r="D37" i="1"/>
  <c r="C13" i="11" s="1"/>
  <c r="B13" i="11" s="1"/>
  <c r="L15" i="7"/>
  <c r="J15" i="7" s="1"/>
  <c r="L5" i="7"/>
  <c r="L17" i="7"/>
  <c r="J17" i="7" s="1"/>
  <c r="L12" i="7"/>
  <c r="J12" i="7" s="1"/>
  <c r="L14" i="7"/>
  <c r="J14" i="7" s="1"/>
  <c r="L16" i="7"/>
  <c r="J16" i="7" s="1"/>
  <c r="L13" i="7"/>
  <c r="J13" i="7" s="1"/>
  <c r="M5" i="7"/>
  <c r="F5" i="7" s="1"/>
  <c r="F17" i="7" l="1"/>
  <c r="F12" i="7"/>
  <c r="F15" i="7"/>
  <c r="F13" i="7"/>
  <c r="F10" i="7"/>
  <c r="F16" i="7"/>
  <c r="F11" i="7"/>
  <c r="F14" i="7"/>
  <c r="F18" i="7"/>
  <c r="H5" i="7"/>
  <c r="G2" i="8" s="1"/>
  <c r="J5" i="7"/>
  <c r="I2" i="8" s="1"/>
  <c r="K5" i="7" l="1"/>
  <c r="H2" i="8" s="1"/>
  <c r="I5" i="7"/>
  <c r="F2" i="8" s="1"/>
  <c r="H14" i="7"/>
  <c r="I14" i="7"/>
  <c r="H11" i="7"/>
  <c r="I11" i="7"/>
  <c r="H16" i="7"/>
  <c r="I16" i="7"/>
  <c r="F4" i="7"/>
  <c r="H10" i="7"/>
  <c r="I10" i="7"/>
  <c r="I13" i="7"/>
  <c r="H13" i="7"/>
  <c r="I15" i="7"/>
  <c r="H15" i="7"/>
  <c r="H12" i="7"/>
  <c r="I12" i="7"/>
  <c r="I18" i="7"/>
  <c r="H18" i="7"/>
  <c r="I17" i="7"/>
  <c r="J4" i="7" s="1"/>
  <c r="I3" i="8" s="1"/>
  <c r="H17" i="7"/>
  <c r="H4" i="7" s="1"/>
  <c r="G3" i="8" s="1"/>
  <c r="C15" i="11" l="1"/>
  <c r="F15" i="11" s="1"/>
  <c r="G35" i="1" s="1"/>
  <c r="I4" i="7"/>
  <c r="F3" i="8" s="1"/>
  <c r="K4" i="7"/>
  <c r="H3" i="8" s="1"/>
  <c r="C2" i="11" l="1" a="1"/>
  <c r="B3" i="11" s="1"/>
  <c r="B15" i="11"/>
  <c r="E35" i="1" s="1"/>
  <c r="F32" i="1" l="1"/>
  <c r="D11" i="11"/>
  <c r="F3" i="11"/>
  <c r="B6" i="11"/>
  <c r="E11" i="11"/>
  <c r="F30" i="1" s="1"/>
  <c r="F4" i="11"/>
  <c r="G32" i="1" s="1"/>
  <c r="F8" i="11"/>
  <c r="G29" i="1" s="1"/>
  <c r="B4" i="11"/>
  <c r="E32" i="1" s="1"/>
  <c r="F33" i="1"/>
  <c r="B7" i="11"/>
  <c r="B8" i="11"/>
  <c r="E29" i="1" s="1"/>
  <c r="B5" i="11"/>
  <c r="E31" i="1" s="1"/>
  <c r="F5" i="11"/>
  <c r="G31" i="1" s="1"/>
  <c r="F7" i="11"/>
  <c r="C2" i="11"/>
  <c r="B2" i="11" s="1"/>
  <c r="E33" i="1" s="1"/>
  <c r="F31" i="1"/>
  <c r="C11" i="11"/>
  <c r="F6" i="11"/>
  <c r="F29" i="1"/>
  <c r="B11" i="11" l="1"/>
  <c r="E30" i="1" s="1"/>
  <c r="F11" i="11"/>
  <c r="G30" i="1" s="1"/>
  <c r="F2" i="11"/>
  <c r="G3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tc={47AACE43-A325-974B-AE7D-87B605F6A944}</author>
    <author>tc={90B9976D-1EE8-B840-8DA8-2C7C759AD1E5}</author>
    <author>tc={17B90161-7A97-FA43-89B4-35DA9213B85E}</author>
    <author>tc={9DA846A4-4A31-D749-9203-DF555C46823D}</author>
    <author>tc={0224EB1A-8A6D-D541-9259-E801CD9305A0}</author>
    <author>tc={45EBE17C-F9A2-504B-AA1C-5944A7643277}</author>
    <author>tc={BF541A7B-42F8-574A-A75D-D4ED4F4BF8F4}</author>
    <author>tc={493C21EF-3CD4-174E-8F94-2F24DA41FF66}</author>
    <author>tc={1D8556E7-C2FD-E640-B8ED-9D16984ADE7E}</author>
    <author>tc={AB4F8635-ECFC-BD42-B017-8D2BDE1706F7}</author>
    <author>tc={B9632307-1C90-4940-ADBB-965D6739017D}</author>
    <author>tc={DBAE3EB9-67F9-5145-9C5E-25C6885D1470}</author>
  </authors>
  <commentList>
    <comment ref="I2" authorId="0" shapeId="0" xr:uid="{47AACE43-A325-974B-AE7D-87B605F6A94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Faktor bezieht sich für Spanplatten etc. und Lagenhölzer auf Dichte Produkt ab Werk zu Verarbeitung (also immer = 1)</t>
      </text>
    </comment>
    <comment ref="F72" authorId="1" shapeId="0" xr:uid="{90B9976D-1EE8-B840-8DA8-2C7C759AD1E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Muss gemischt sein, obwohl Laubholz, weil nur so das Holz nicht korrigiert wird</t>
      </text>
    </comment>
    <comment ref="F73" authorId="2" shapeId="0" xr:uid="{17B90161-7A97-FA43-89B4-35DA9213B85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Muss gemischt sein, obwohl Laubholz, weil nur so das Holz nicht korrigiert wird</t>
      </text>
    </comment>
    <comment ref="G84" authorId="3" shapeId="0" xr:uid="{9DA846A4-4A31-D749-9203-DF555C46823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Wird aus Holzmischung gerechnet</t>
      </text>
    </comment>
    <comment ref="H90" authorId="4" shapeId="0" xr:uid="{0224EB1A-8A6D-D541-9259-E801CD9305A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1" authorId="5" shapeId="0" xr:uid="{45EBE17C-F9A2-504B-AA1C-5944A764327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2" authorId="6" shapeId="0" xr:uid="{BF541A7B-42F8-574A-A75D-D4ED4F4BF8F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3" authorId="7" shapeId="0" xr:uid="{493C21EF-3CD4-174E-8F94-2F24DA41FF6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6" authorId="8" shapeId="0" xr:uid="{1D8556E7-C2FD-E640-B8ED-9D16984ADE7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7" authorId="9" shapeId="0" xr:uid="{AB4F8635-ECFC-BD42-B017-8D2BDE1706F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8" authorId="10" shapeId="0" xr:uid="{B9632307-1C90-4940-ADBB-965D6739017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 ref="H99" authorId="11" shapeId="0" xr:uid="{DBAE3EB9-67F9-5145-9C5E-25C6885D147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Unklar, weshalb hier die Datensätze nicht fix hinterlegt sind, bei Gelegenheit prüfen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Savi</author>
  </authors>
  <commentList>
    <comment ref="C3" authorId="0" shapeId="0" xr:uid="{1202D500-7E2E-E94A-A938-017A57758AF8}">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 ref="E3" authorId="0" shapeId="0" xr:uid="{D08C19C1-077F-E44C-BED7-0900863BD1CB}">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 ref="A4" authorId="0" shapeId="0" xr:uid="{1E6B750C-E4E2-AB40-A18D-64E0A4B6D416}">
      <text>
        <r>
          <rPr>
            <b/>
            <sz val="10"/>
            <color rgb="FF000000"/>
            <rFont val="Tahoma"/>
            <family val="2"/>
          </rPr>
          <t>Daniel Savi:</t>
        </r>
        <r>
          <rPr>
            <sz val="10"/>
            <color rgb="FF000000"/>
            <rFont val="Tahoma"/>
            <family val="2"/>
          </rPr>
          <t xml:space="preserve">
</t>
        </r>
        <r>
          <rPr>
            <sz val="10"/>
            <color rgb="FF000000"/>
            <rFont val="Tahoma"/>
            <family val="2"/>
          </rPr>
          <t xml:space="preserve">Gemäss 684-Holzdaten-Ressourcenkorrektur von treeze
</t>
        </r>
        <r>
          <rPr>
            <sz val="10"/>
            <color rgb="FF000000"/>
            <rFont val="Tahoma"/>
            <family val="2"/>
          </rPr>
          <t xml:space="preserve">leere Felder: keine Daten für Berechnung nötig.
</t>
        </r>
      </text>
    </comment>
    <comment ref="B4" authorId="0" shapeId="0" xr:uid="{72883569-0D5B-364F-84E3-E610367B8F9E}">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 ref="C4" authorId="0" shapeId="0" xr:uid="{2D784DBE-14F1-F140-A6BE-961F303E80D0}">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 ref="D4" authorId="0" shapeId="0" xr:uid="{06265DA8-6762-E841-9FD7-5FAAD259317D}">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 ref="E4" authorId="0" shapeId="0" xr:uid="{DBF8D859-CEF1-D140-A111-CDDFF6F5C62E}">
      <text>
        <r>
          <rPr>
            <b/>
            <sz val="10"/>
            <color rgb="FF000000"/>
            <rFont val="Tahoma"/>
            <family val="2"/>
          </rPr>
          <t>Daniel Savi:</t>
        </r>
        <r>
          <rPr>
            <sz val="10"/>
            <color rgb="FF000000"/>
            <rFont val="Tahoma"/>
            <family val="2"/>
          </rPr>
          <t xml:space="preserve">
</t>
        </r>
        <r>
          <rPr>
            <sz val="10"/>
            <color rgb="FF000000"/>
            <rFont val="Calibri"/>
            <family val="2"/>
          </rPr>
          <t xml:space="preserve">Wert gemäss 684-Holzdaten-Ressoucenkorrektur-v1.0.xlsx von treeze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tc={A5A3ED1E-7394-CC48-AE65-88FE9CAFCE32}</author>
    <author>tc={A34F20DF-107D-9D4A-B00B-C69D956F85C9}</author>
    <author>tc={AA866A03-7C04-8A41-B67F-1B9C0C16B5D8}</author>
    <author>tc={ECC21AAA-4E4A-DB41-9302-7112F099C259}</author>
  </authors>
  <commentList>
    <comment ref="P2" authorId="0" shapeId="0" xr:uid="{A5A3ED1E-7394-CC48-AE65-88FE9CAFCE3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Jahrbuch CH 2021</t>
      </text>
    </comment>
    <comment ref="R2" authorId="1" shapeId="0" xr:uid="{A34F20DF-107D-9D4A-B00B-C69D956F85C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Jahrbuch CH 2021</t>
      </text>
    </comment>
    <comment ref="P3" authorId="2" shapeId="0" xr:uid="{AA866A03-7C04-8A41-B67F-1B9C0C16B5D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aus Datensatz UVEK</t>
      </text>
    </comment>
    <comment ref="P10" authorId="3" shapeId="0" xr:uid="{ECC21AAA-4E4A-DB41-9302-7112F099C25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aus Jahrbuch Holzwirtschaft, 2021</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<sst xmlns="http://schemas.openxmlformats.org/spreadsheetml/2006/main" count="1264" uniqueCount="400">
  <si>
    <t>Schnittholz</t>
  </si>
  <si>
    <t>Menu Holzprodukt</t>
  </si>
  <si>
    <t>Weichfaserplatten</t>
  </si>
  <si>
    <t>Balken Laubholz</t>
  </si>
  <si>
    <t>Balken Nadelholz</t>
  </si>
  <si>
    <t>Bretter Nadelholz</t>
  </si>
  <si>
    <t>Latten Nadelholz</t>
  </si>
  <si>
    <t>Bretter Laubholz</t>
  </si>
  <si>
    <t>Latten Laubholz</t>
  </si>
  <si>
    <t>Tab Herkunftsland sichtbar?</t>
  </si>
  <si>
    <t>Ja</t>
  </si>
  <si>
    <t>Nein</t>
  </si>
  <si>
    <t>Aktuelle Menuauswahl</t>
  </si>
  <si>
    <t>Deutschland</t>
  </si>
  <si>
    <t>Finnland</t>
  </si>
  <si>
    <t>Frankreich</t>
  </si>
  <si>
    <t>Italien</t>
  </si>
  <si>
    <t>Norwegen</t>
  </si>
  <si>
    <t>Österreich</t>
  </si>
  <si>
    <t>Schweden</t>
  </si>
  <si>
    <t>Schweiz</t>
  </si>
  <si>
    <t>Ungarn</t>
  </si>
  <si>
    <t>Total</t>
  </si>
  <si>
    <t>[in km]</t>
  </si>
  <si>
    <t>Eintrag Prod. 1</t>
  </si>
  <si>
    <t>Land des Sägewerkes</t>
  </si>
  <si>
    <t>Text Transport Std.</t>
  </si>
  <si>
    <t>Text Transport eigene</t>
  </si>
  <si>
    <t>Eigene Distanz Transport vom Wald zum Sägewerk [km]</t>
  </si>
  <si>
    <t>Vorgabe Transportdistanz Luftlinie geographischer Mittelpunkt</t>
  </si>
  <si>
    <t>Menu Holzverarbeitung</t>
  </si>
  <si>
    <t>Menu Holzverarbeitung sichtbar?</t>
  </si>
  <si>
    <t>Text LKW Std.</t>
  </si>
  <si>
    <t>Text LKW eigene</t>
  </si>
  <si>
    <t>Standard-Anteil LKW vom Wald zum Sägewerk [%]</t>
  </si>
  <si>
    <t>Eigener Anteil LKW vom Wald zum Sägewerk [%]</t>
  </si>
  <si>
    <t>Land der Anwendung</t>
  </si>
  <si>
    <t>Menu Holzprodukt sichtbar?</t>
  </si>
  <si>
    <t>Standard-Distanz Trans. vom Wald zum Sägewerk [km]</t>
  </si>
  <si>
    <t>Umweltindikator</t>
  </si>
  <si>
    <t>Herstellung</t>
  </si>
  <si>
    <t>Entsorgung</t>
  </si>
  <si>
    <t>Umweltbelastungspunkte (UBP)</t>
  </si>
  <si>
    <t>Primärenergie gesamt</t>
  </si>
  <si>
    <t>Primärenergie erneuerbar</t>
  </si>
  <si>
    <t>Primärenergie nicht erneuerbar (Graue Energie)</t>
  </si>
  <si>
    <t>Treibhausgasemissionen (THG-E)</t>
  </si>
  <si>
    <t>Einheit</t>
  </si>
  <si>
    <t>Anteil LKW Holz</t>
  </si>
  <si>
    <t>Anteil LKW Verarbeitung</t>
  </si>
  <si>
    <t>Eigene Distanz Transport vom Sägewerk zur Anwendung [km]</t>
  </si>
  <si>
    <t>Standard-Anteil LKW vom Sägewerk zur Anwendung [km]</t>
  </si>
  <si>
    <t>Eigener Anteil LKW vom Sägewerk zur Anwendung [km]</t>
  </si>
  <si>
    <t>Holzprodukt</t>
  </si>
  <si>
    <t>Holzverarbeitung</t>
  </si>
  <si>
    <t>Region Verarbeitung</t>
  </si>
  <si>
    <t>Datensatzname Prozesskette fix</t>
  </si>
  <si>
    <t>sawlog and veneer log, hardwood, sustainable forest management, measured as solid wood under bark, at forest road - CH</t>
  </si>
  <si>
    <t>CH</t>
  </si>
  <si>
    <t>RER</t>
  </si>
  <si>
    <t>Rundholz</t>
  </si>
  <si>
    <t>Verarbeitung Holzgewinnung</t>
  </si>
  <si>
    <t>Region CH</t>
  </si>
  <si>
    <t>Region RER</t>
  </si>
  <si>
    <t>Transporte</t>
  </si>
  <si>
    <t>Wahl Anwender Prozesskette</t>
  </si>
  <si>
    <t>tkm</t>
  </si>
  <si>
    <t>m3 Rundholz/m3 Produkt</t>
  </si>
  <si>
    <t>m3 Stufe1/m3 Produkt</t>
  </si>
  <si>
    <t>Verlustfaktoren</t>
  </si>
  <si>
    <t>m3 Stufe2/m3 Produkt</t>
  </si>
  <si>
    <t>Transporte Rundholz</t>
  </si>
  <si>
    <t>vorhanden</t>
  </si>
  <si>
    <t>Verarbeitung</t>
  </si>
  <si>
    <t>Titel Tab Herkunftsland</t>
  </si>
  <si>
    <t>Herkunftsland Rundholz</t>
  </si>
  <si>
    <t>Herkunftsland Holzschnitzel</t>
  </si>
  <si>
    <t>Anteil Holz</t>
  </si>
  <si>
    <t>Anteil LKW</t>
  </si>
  <si>
    <t>Laubholz ab Wald</t>
  </si>
  <si>
    <t>Nadelholz ab Wald</t>
  </si>
  <si>
    <t>Laubholz ab Sägewerk</t>
  </si>
  <si>
    <t>Nadelholz ab Sägewerk</t>
  </si>
  <si>
    <t>sawnwood, beam, hardwood, dried (u=10%), planed, at sawmill - CH</t>
  </si>
  <si>
    <t>sawnwood, beam, hardwood, dried (u=20%), planed, at sawmill - CH</t>
  </si>
  <si>
    <t>Datensatz</t>
  </si>
  <si>
    <t>Anwendung</t>
  </si>
  <si>
    <t>Holzart</t>
  </si>
  <si>
    <t>Laubholz</t>
  </si>
  <si>
    <t>Nadelholz</t>
  </si>
  <si>
    <t>Distanz für Berechnung [km]</t>
  </si>
  <si>
    <t>Distanz LKW [tkm/m³]</t>
  </si>
  <si>
    <t>Distanz Bahn [tkm/m³]</t>
  </si>
  <si>
    <t>Total Distanz [tkm/m³]</t>
  </si>
  <si>
    <t>Distanz LKW CH [tkm/m³]</t>
  </si>
  <si>
    <t>Distanz LKW RER [tkm/m³]</t>
  </si>
  <si>
    <t>Distanz Bahn CH [tkm/m³]</t>
  </si>
  <si>
    <t>Distanz Bahn RER [tkm/m³]</t>
  </si>
  <si>
    <t>Dichte [t/m³] * Verlustfaktor</t>
  </si>
  <si>
    <t>Holzdichte Rundholz [t/m3]</t>
  </si>
  <si>
    <t>Produktgruppe</t>
  </si>
  <si>
    <t>Holzpellets</t>
  </si>
  <si>
    <t>Holzschnitzel</t>
  </si>
  <si>
    <t>Stückholz als Energieholz</t>
  </si>
  <si>
    <t>Land des Pelletswerks</t>
  </si>
  <si>
    <t>Herkunftsland Stückholz</t>
  </si>
  <si>
    <t>Biogener Kohlenstoff</t>
  </si>
  <si>
    <t>Bezugsdatensatz</t>
  </si>
  <si>
    <t>sawnwood, beam, softwood, dried (u=10%), planed, at sawmill - RER</t>
  </si>
  <si>
    <t>sawnwood, beam, softwood, dried (u=20%), planed, at sawmill - RER</t>
  </si>
  <si>
    <t>sawnwood, beam, softwood, raw, air dried (u=20%), at sawmill - RER</t>
  </si>
  <si>
    <t>sawnwood, beam, softwood, raw, kiln dried (u=10%), at sawmill - RER</t>
  </si>
  <si>
    <t>sawnwood, beam, softwood, raw, kiln dried (u=20%), at sawmill - RER</t>
  </si>
  <si>
    <t>transport, freight, lorry 16-32 metric ton, fleet average - RER</t>
  </si>
  <si>
    <t>transport, freight, rail - RER</t>
  </si>
  <si>
    <t>sawnwood, beam, hardwood, dried (u=10%), planed, at sawmill - RER</t>
  </si>
  <si>
    <t>sawnwood, beam, hardwood, dried (u=20%), planed, at sawmill - RER</t>
  </si>
  <si>
    <t>sawnwood, beam, softwood, dried (u=10%), planed, at sawmill - CH</t>
  </si>
  <si>
    <t>sawnwood, beam, softwood, dried (u=20%), planed, at sawmill - CH</t>
  </si>
  <si>
    <t>sawnwood, beam, softwood, raw, air dried (u=20%), at sawmill - CH</t>
  </si>
  <si>
    <t>sawnwood, beam, softwood, raw, kiln dried (u=10%), at sawmill - CH</t>
  </si>
  <si>
    <t>sawnwood, beam, softwood, raw, kiln dried (u=20%), at sawmill - CH</t>
  </si>
  <si>
    <t>sawlog and veneer log, softwood, sustainable forest management, measured as solid wood under bark, at forest road - CH</t>
  </si>
  <si>
    <t>sawlog and veneer log, softwood, sustainable forest management, measured as solid wood under bark, at forest road - RER</t>
  </si>
  <si>
    <t>Total Distanz unkorr. [km/m³]</t>
  </si>
  <si>
    <t>Anteil*Distanz [km/m³ Rundholz]</t>
  </si>
  <si>
    <t>Mittlere Distanz:</t>
  </si>
  <si>
    <t>Indicator</t>
  </si>
  <si>
    <t>sawlog and veneer log, hardwood, sustainable forest management, measured as solid wood under bark, at forest road - RER</t>
  </si>
  <si>
    <t>transport, freight, rail, electricity with shunting - CH</t>
  </si>
  <si>
    <t>Unit</t>
  </si>
  <si>
    <t>Cumulative Energy Demand - non-renewable</t>
  </si>
  <si>
    <t>MJ</t>
  </si>
  <si>
    <t>Cumulative Energy Demand - nuclear</t>
  </si>
  <si>
    <t>Cumulative Energy Demand - renewable</t>
  </si>
  <si>
    <t>Cumulative Energy Demand - total</t>
  </si>
  <si>
    <t>Ecological Scarcity 2021, categories, res. cor.</t>
  </si>
  <si>
    <t>UBP</t>
  </si>
  <si>
    <t>IPCC 2013 CO2, fossil</t>
  </si>
  <si>
    <t>kg CO2</t>
  </si>
  <si>
    <t>IPCC 2013 GWP 100a</t>
  </si>
  <si>
    <t>kg CO2 eq</t>
  </si>
  <si>
    <t>Gemischt</t>
  </si>
  <si>
    <t>Gesamt</t>
  </si>
  <si>
    <t>Region</t>
  </si>
  <si>
    <t>Std.-Dist. Rundholz</t>
  </si>
  <si>
    <t>sawnwood, board, hardwood, dried (u=10%), planed, at sawmill - CH</t>
  </si>
  <si>
    <t>sawnwood, board, hardwood, dried (u=10%), planed, at sawmill - RER</t>
  </si>
  <si>
    <t>sawnwood, board, hardwood, dried (u=20%), planed, at sawmill - CH</t>
  </si>
  <si>
    <t>sawnwood, board, hardwood, dried (u=20%), planed, at sawmill - RER</t>
  </si>
  <si>
    <t>sawnwood, board, hardwood, raw, air dried (u=20%), at sawmill - CH</t>
  </si>
  <si>
    <t>sawnwood, board, hardwood, raw, air dried (u=20%), at sawmill - RER</t>
  </si>
  <si>
    <t>sawnwood, board, hardwood, raw, kiln dried (u=10%), at sawmill - CH</t>
  </si>
  <si>
    <t>sawnwood, board, hardwood, raw, kiln dried (u=10%), at sawmill - RER</t>
  </si>
  <si>
    <t>sawnwood, board, hardwood, raw, kiln dried (u=20%), at sawmill - RER</t>
  </si>
  <si>
    <t>sawnwood, board, hardwood, raw, kiln dried (u=20%), at sawmill - CH</t>
  </si>
  <si>
    <t>sawnwood, board, softwood, dried (u=10%), planed, at sawmill - CH</t>
  </si>
  <si>
    <t>sawnwood, board, softwood, dried (u=10%), planed, at sawmill - RER</t>
  </si>
  <si>
    <t>sawnwood, board, softwood, dried (u=20%), planed, at sawmill - CH</t>
  </si>
  <si>
    <t>sawnwood, board, softwood, dried (u=20%), planed, at sawmill - RER</t>
  </si>
  <si>
    <t>sawnwood, board, softwood, raw, air dried (u=20%), at sawmill - CH</t>
  </si>
  <si>
    <t>sawnwood, board, softwood, raw, air dried (u=20%), at sawmill - RER</t>
  </si>
  <si>
    <t>sawnwood, board, softwood, raw, kiln dried (u=10%), at sawmill - CH</t>
  </si>
  <si>
    <t>sawnwood, board, softwood, raw, dried (u=10%), at sawmill - RER</t>
  </si>
  <si>
    <t>sawnwood, board, softwood, raw, kiln dried (u=20%), at sawmill - CH</t>
  </si>
  <si>
    <t>sawnwood, board, softwood, raw, kiln dried (u=20%), at sawmill - RER</t>
  </si>
  <si>
    <t>sawnwood, lath, hardwood, dried (u=10%), planed, at sawmill - CH</t>
  </si>
  <si>
    <t>sawnwood, lath, hardwood, dried (u=10%), planed, at sawmill - RER</t>
  </si>
  <si>
    <t>sawnwood, lath, hardwood, dried (u=20%), planed, at sawmill - CH</t>
  </si>
  <si>
    <t>sawnwood, lath, hardwood, dried (u=20%), planed, at sawmill - RER</t>
  </si>
  <si>
    <t>sawnwood, lath, hardwood, raw, air dried (u=20%), at sawmill - CH</t>
  </si>
  <si>
    <t>sawnwood, lath, hardwood, raw, air dried (u=20%), at sawmill - RER</t>
  </si>
  <si>
    <t>sawnwood, lath, hardwood, raw, kiln dried (u=10%), at sawmill - CH</t>
  </si>
  <si>
    <t>sawnwood, lath, hardwood, raw, kiln dried (u=20%), at sawmill - CH</t>
  </si>
  <si>
    <t>sawnwood, lath, hardwood, raw, kiln dried (u=20%), at sawmill - RER</t>
  </si>
  <si>
    <t>sawnwood, lath, softwood, dried (u=10%), planed, at sawmill - CH</t>
  </si>
  <si>
    <t>sawnwood, lath, softwood, dried (u=10%), planed, at sawmill - RER</t>
  </si>
  <si>
    <t>sawnwood, lath, softwood, dried (u=20%), planed, at sawmill - CH</t>
  </si>
  <si>
    <t>sawnwood, lath, softwood, dried (u=20%), planed, at sawmill - RER</t>
  </si>
  <si>
    <t>sawnwood, lath, softwood, raw, air dried (u=20%), at sawmill - CH</t>
  </si>
  <si>
    <t>sawnwood, lath, softwood, raw, air dried (u=20%), at sawmill - RER</t>
  </si>
  <si>
    <t>sawnwood, lath, softwood, raw, kiln dried (u=10%), at sawmill - CH</t>
  </si>
  <si>
    <t>sawnwood, lath, softwood, raw, kiln dried (u=10%), at sawmill - RER</t>
  </si>
  <si>
    <t>sawnwood, lath, softwood, raw, kiln dried (u=20%), at sawmill - CH</t>
  </si>
  <si>
    <t>sawnwood, lath, softwood, raw, kiln dried (u=20%), at sawmill - RER</t>
  </si>
  <si>
    <t>sawnwood, lath, hardwood, raw, kiln dried (u=10%), at sawmill - RER</t>
  </si>
  <si>
    <t>fibreboard, soft, from wet &amp; dry processes, at plant - RER</t>
  </si>
  <si>
    <t>particleboard 18 mm, average glue mix, melamine faced, at regional storage - CH</t>
  </si>
  <si>
    <t>particleboard, average glue mix, uncoated, at plant - RER</t>
  </si>
  <si>
    <t>Tubular particleboard, at plant - RER</t>
  </si>
  <si>
    <t>Spanplatten, unbeschichtet</t>
  </si>
  <si>
    <t>Röhrenspanplatten</t>
  </si>
  <si>
    <t>sawnwood, beam, hardwood, raw, air dried (u=20%), at sawmill - RER</t>
  </si>
  <si>
    <t>sawnwood, beam, hardwood, raw, air dried (u=20%), at sawmill - CH</t>
  </si>
  <si>
    <t>sawnwood, beam, hardwood, raw, kiln dried (u=10%), at sawmill - RER</t>
  </si>
  <si>
    <t>sawnwood, beam, hardwood, raw, kiln dried (u=10%), at sawmill - CH</t>
  </si>
  <si>
    <t>sawnwood, beam, hardwood, raw, kiln dried (u=20%), at sawmill - RER</t>
  </si>
  <si>
    <t>sawnwood, beam, hardwood, raw, kiln dried (u=20%), at sawmill - CH</t>
  </si>
  <si>
    <t>Cumulative Energy Demand - non-renewable [MJ]</t>
  </si>
  <si>
    <t>Cumulative Energy Demand - nuclear [MJ]</t>
  </si>
  <si>
    <t>Cumulative Energy Demand - renewable [MJ]</t>
  </si>
  <si>
    <t>Cumulative Energy Demand - total [MJ]</t>
  </si>
  <si>
    <t>TOTAL</t>
  </si>
  <si>
    <t>Anteil*Distanz*Dichte * Verlustfaktor [tkm/m³ Produkt]</t>
  </si>
  <si>
    <t>Dichte Produkt [t/m3] (gem. KBOB-Liste)</t>
  </si>
  <si>
    <t>Brettschichtholz</t>
  </si>
  <si>
    <t>Furniersperrholz</t>
  </si>
  <si>
    <t>Sperrholz, Aussenanwendung</t>
  </si>
  <si>
    <t>Sperrholz, Innenanwendung</t>
  </si>
  <si>
    <t>Drei- oder Fünfschichtplatte</t>
  </si>
  <si>
    <t>Glued laminated timber, average glue mix, at plant - CH</t>
  </si>
  <si>
    <t>Glued laminated timber, average glue mix, at plant - RER</t>
  </si>
  <si>
    <t>Plywood, hardwood veneer, UF-bonded, at plant - RER</t>
  </si>
  <si>
    <t>plywood, indoor use, at plant - RER</t>
  </si>
  <si>
    <t>plywood, outdoor use, at plant - RER</t>
  </si>
  <si>
    <t>Three- and five-layered board, at plant - RER</t>
  </si>
  <si>
    <t>Berechnungsfaktoren für Datensätze</t>
  </si>
  <si>
    <t>Weichfaser-, Spanplatten, Sperrholz</t>
  </si>
  <si>
    <t>Mittlere Dichte [t/m3]</t>
  </si>
  <si>
    <t>wood pellet, measured as dry mass, at plant - RER</t>
  </si>
  <si>
    <t>wood chips, hardwood, wet, sustainable forest management, measured as dry mass, at forest road - CH</t>
  </si>
  <si>
    <t>wood chips, hardwood, wet, measured as dry mass, at sawmill - RER</t>
  </si>
  <si>
    <t>wood chips, hardwood, wet, measured as dry mass, at sawmill - CH</t>
  </si>
  <si>
    <t>wood chips, softwood, wet, measured as dry mass, at sawmill - RER</t>
  </si>
  <si>
    <t>wood chips, softwood, wet, measured as dry mass, at sawmill - CH</t>
  </si>
  <si>
    <t>wood chips, softwood, wet, sustainable forest management, measured as dry mass, at forest road - CH</t>
  </si>
  <si>
    <t>Gemischt Schnitzel</t>
  </si>
  <si>
    <t>kg</t>
  </si>
  <si>
    <t>Gemischt Stück</t>
  </si>
  <si>
    <t>wood chips, softwood / hardwood, wet, sustainable forest management, measured as dry mass, at forest road - CH</t>
  </si>
  <si>
    <t>wood chips, softwood / hardwood, wet, measured as dry mass, at sawmill - CH</t>
  </si>
  <si>
    <t>wood chips, softwood / hardwood, wet, measured as dry mass, at sawmill - RER</t>
  </si>
  <si>
    <t>kWh als Bezugseinheit für Brennholz. Quelle für Umrechnung ist jahrbuch Wald und Holz Tab. 14.4: Vorsicht mit Daten in KBOB-Liste. Diese sind für die Energiebereitstellung (Emissionen der Verbrennung enthalten). Wäre die Berechnung Entsorgung mit Verbrennungsdatensatz gleichwertig?</t>
  </si>
  <si>
    <t>PENDENZEN</t>
  </si>
  <si>
    <t>sägerau, luftgetrocknet (u=20%)</t>
  </si>
  <si>
    <t>sägerau, kammergetrocknet (u=20%)</t>
  </si>
  <si>
    <t>sägerau, kammergetrocknet (u=10%)</t>
  </si>
  <si>
    <t>gehobelt, kammergetrocknet, (u=10%)</t>
  </si>
  <si>
    <t>gehobelt, getrocknet, (u=20%)</t>
  </si>
  <si>
    <t>disposal, 3-layered laminated wood board, 4% binder, as building waste - CH</t>
  </si>
  <si>
    <t>disposal, fibreboard soft, as building waste - CH</t>
  </si>
  <si>
    <t>disposal, wood particle board, 10% binder, as building waste - CH</t>
  </si>
  <si>
    <t>disposal, glued laminated timbre, 2.5% binder, as building waste - CH</t>
  </si>
  <si>
    <t>disposal, solid wood, as building waste - CH</t>
  </si>
  <si>
    <t>Spaltentitel Entsorgung/Verbrennung</t>
  </si>
  <si>
    <t>Grundlagendatensatz Herstellung (UVEK22):</t>
  </si>
  <si>
    <t>cleft timber, softwood, sustainable forest management, measured as dry mass, at forest road - CH</t>
  </si>
  <si>
    <t>cleft timber, hardwood, sustainable forest management, measured as dry mass, at forest road - CH</t>
  </si>
  <si>
    <t>KWh in KBOB-Liste für Holzbrennstoffe, Daten beziehen sich auf Verbrennung, Emissionen Verbrennung müssten eingerechnet werden, Bezug ändert sich je nach Holzart (Brennwert), zudem in UVEK-Datenbank unterschiedlich für Datensätze aus Proj 210. Hintergründe unklar.</t>
  </si>
  <si>
    <t>Ant. Laubholz CH</t>
  </si>
  <si>
    <t>Ant. Laubholz RER</t>
  </si>
  <si>
    <t>Ant. Nadelholz CH</t>
  </si>
  <si>
    <t>Ant. Nadelholz RER</t>
  </si>
  <si>
    <t>Suchtext Holzmischung</t>
  </si>
  <si>
    <t>Ant. Lbh in Gemischt Stück</t>
  </si>
  <si>
    <t>Ant. Lbh in Gemischt Schnitzel</t>
  </si>
  <si>
    <t>cleft timber, production mix, sustainable forest management, measured as dry mass, at forest road - RER</t>
  </si>
  <si>
    <t>cleft timber, production mix, sustainable forest management, measured as dry mass, at forest road - CH</t>
  </si>
  <si>
    <t>Mittlere Dichte Laubholz [t/m3]</t>
  </si>
  <si>
    <t>Mittlere Dichte Nadelholz [t/m3]</t>
  </si>
  <si>
    <t>Zurückstellen</t>
  </si>
  <si>
    <t>Eintrag Anwendung</t>
  </si>
  <si>
    <t>Fehlerprüfungen</t>
  </si>
  <si>
    <t>Holzprodukt passt nicht zu Produktgruppe</t>
  </si>
  <si>
    <t>Spaltentitel Transporte Rundholz</t>
  </si>
  <si>
    <t>Nicht 100% Rundholz</t>
  </si>
  <si>
    <t>Fehlertext</t>
  </si>
  <si>
    <t>Holzprodukt passt nicht zur Produktgruppe, bitte neu wählen</t>
  </si>
  <si>
    <t>Spaltentitel Herstellung</t>
  </si>
  <si>
    <t>Fussnote Herstellung</t>
  </si>
  <si>
    <t>Herstellung ¹</t>
  </si>
  <si>
    <t>¹ Inkl. Transporte Rundholz</t>
  </si>
  <si>
    <t>Spanplatten, beschichtet</t>
  </si>
  <si>
    <t>Dichte</t>
  </si>
  <si>
    <t>Brennwert Holz (Energy, gross calorific value, in biomass)</t>
  </si>
  <si>
    <t>m³</t>
  </si>
  <si>
    <t>Bezugsgrösse Output</t>
  </si>
  <si>
    <t>Faktor stoffliche Nutzung in Verwertung</t>
  </si>
  <si>
    <t>Anteil stoffl. verwertet (Prozessketten Entsorgung BfU 2019)</t>
  </si>
  <si>
    <t>Ecological Scarcity 2021, categories, OHNE RESSOURCENKORR</t>
  </si>
  <si>
    <t>Ecological Scarcity 2021, categories, MIT RESSOURCENKORR</t>
  </si>
  <si>
    <t>Ressourcenkorrektur UBP</t>
  </si>
  <si>
    <t>Ecological Scarcity 2021, RESSOURCENKORR alleine</t>
  </si>
  <si>
    <t>UBP/MJ (Methodik Ökofaktoren 21, S. 159 , sowie Tab. 88)</t>
  </si>
  <si>
    <t>Ressourcenkorr MJ pro kg (nur für testzwecke nötig)</t>
  </si>
  <si>
    <t>kg/m³</t>
  </si>
  <si>
    <t>Biogener Kohlenstoff [kg]</t>
  </si>
  <si>
    <t>transport, freight, lorry, fleet average - CH</t>
  </si>
  <si>
    <t>fibreboard soft, at plant (u=7%)</t>
  </si>
  <si>
    <t>disposal, wood particle board, 10% binder, 3.5% MF resin, as building waste</t>
  </si>
  <si>
    <t>Transporte Stückholz</t>
  </si>
  <si>
    <t>Transporte Holzschnitzel</t>
  </si>
  <si>
    <t>Offene Fragen, Diskrepanzen KBOB</t>
  </si>
  <si>
    <t>Biogenes C pro kg höher in Spanplatten als in Holz mit Feuchte 20%</t>
  </si>
  <si>
    <t>Dichte Brettschichtholz geringer als Nadelholz</t>
  </si>
  <si>
    <t>CO2-Emissionen / m3 höher für Stückholz Weichholz als Hartholz: müsste doch umgekehrt sein? Eventuell Fehler in Bilanzierung KBOB-Liste?</t>
  </si>
  <si>
    <t>Herstellung inkl. nutzerdefinierte Transporte</t>
  </si>
  <si>
    <t>Transporte nutzerdefiniert</t>
  </si>
  <si>
    <t>Zweck des Holzrechners und Zielgruppe</t>
  </si>
  <si>
    <t>Darstellung der Ökobilanzergebnisse</t>
  </si>
  <si>
    <t>Autoren und Kontakt</t>
  </si>
  <si>
    <t>Daniel Savi, Matthias Klingler, Julie Kaschub</t>
  </si>
  <si>
    <t>Bedienungsanleitung</t>
  </si>
  <si>
    <t>Eingabemaske</t>
  </si>
  <si>
    <t>Lagenholz</t>
  </si>
  <si>
    <t>Balkenschichtholz</t>
  </si>
  <si>
    <t>Standard-Distanz Trans. vom Werk zur Verarbeitung [km]</t>
  </si>
  <si>
    <t>Eigene Distanz Transport vom Werk zur Verarbeitung [km]</t>
  </si>
  <si>
    <t>Werkstandort Platten</t>
  </si>
  <si>
    <t>Land der Produktion</t>
  </si>
  <si>
    <t>Eigene Distanz Transport von der Produktion zur Anwendung [km]</t>
  </si>
  <si>
    <t>Standard-Anteil LKW von der Produktion zur Anwendung [km]</t>
  </si>
  <si>
    <t>Eigener Anteil LKW von der Produktion zur Anwendung [km]</t>
  </si>
  <si>
    <t>Bezugseinheit für alle Angaben:</t>
  </si>
  <si>
    <t>Bezugseinheit für Angaben</t>
  </si>
  <si>
    <t>m³ fest</t>
  </si>
  <si>
    <r>
      <t>m</t>
    </r>
    <r>
      <rPr>
        <vertAlign val="superscript"/>
        <sz val="11"/>
        <color theme="1"/>
        <rFont val="Arial"/>
        <family val="2"/>
      </rPr>
      <t>³</t>
    </r>
    <r>
      <rPr>
        <sz val="11"/>
        <color theme="1"/>
        <rFont val="Arial"/>
        <family val="2"/>
      </rPr>
      <t xml:space="preserve"> fest</t>
    </r>
  </si>
  <si>
    <t>Text Volumenumrechnung</t>
  </si>
  <si>
    <t>Faktor  Volumenumrechnung</t>
  </si>
  <si>
    <t>Dichte ab Werk</t>
  </si>
  <si>
    <t>kg CO₂-eq/m³ fest</t>
  </si>
  <si>
    <t>UBP/m³ fest</t>
  </si>
  <si>
    <t>kWh/m³ fest</t>
  </si>
  <si>
    <t>kg C/m³ fest</t>
  </si>
  <si>
    <t>Umrechnungsfaktor auf Masse [m³ fest/to]:</t>
  </si>
  <si>
    <t>Umrechnungsfaktor auf Ster [m³ fest/Ster]:</t>
  </si>
  <si>
    <t>Umrechnungsfaktor auf Schüttvolumen [m³ fest/m³ SRM]:</t>
  </si>
  <si>
    <t>Glued solid timber, average glue mix, at plant - RER</t>
  </si>
  <si>
    <t>Glued solid timber, average glue mix, at plant - CH</t>
  </si>
  <si>
    <t>Standard-Anteil LKW vom Werk zur Verarbeitung [%]</t>
  </si>
  <si>
    <t>Eigener Anteil LKW vom Werk zur Verarbeitung [%]</t>
  </si>
  <si>
    <t>Für jede Produktgruppe kann eine andere Auswahl von Holzprodukten gewählt werden. Für Holzpellets gibt es keine Auswahl von Produkten.</t>
  </si>
  <si>
    <t>Herkunftsland Rundholz / Werkstandort Platten / Herkunftsland Lamelle / Herkunftsland Stückholz / Herkunftsland Holzschnitzel</t>
  </si>
  <si>
    <t xml:space="preserve">Aus der Auswahl können Sie die Produktgruppe wählen. Der Rechner bietet Produktgruppen für Holz als Baustoff (Schnittholz, Weichfaser-, Spanplatten, Sperrholz, Lagenholz), wie auch für Holz als Energieträger (Stückholz als Energieholz, Holzschnitzel, Holzpellets) an. </t>
  </si>
  <si>
    <t>Land der Holzfeuerung</t>
  </si>
  <si>
    <t>Eigener Anteil LKW vom Pelletswerk  zur Feuerung [km]</t>
  </si>
  <si>
    <t>Standard-Anteil LKW vom Pelletswerk  zur Feuerung [km]</t>
  </si>
  <si>
    <t>Eigene Distanz Transport vom Pelletswerk zur Feuerung [km]</t>
  </si>
  <si>
    <t>Standard-Distanz Trans. vom Pelletswerk zur Feuerung [km]</t>
  </si>
  <si>
    <t>Eigener Anteil LKW Holzschnitzel zur Feuerung [%]</t>
  </si>
  <si>
    <t>Eigener Anteil LKW Stückholz zur Feuerung [%]</t>
  </si>
  <si>
    <t>Standard-Anteil LKW Stückholz zur Feuerung [%]</t>
  </si>
  <si>
    <t>Standard-Anteil LKW Holzschnitzel zur Feuerung [%]</t>
  </si>
  <si>
    <t>Eigene Distanz Transport Holzschnitzel zur Feuerung [km]</t>
  </si>
  <si>
    <t>Eigene Distanz Transport Stückholz zur Feuerung [km]</t>
  </si>
  <si>
    <t>Standard-Distanz Trans. Stückholz zur Feuerung [km]</t>
  </si>
  <si>
    <t>Standard-Distanz Trans. Holzschnitzel zur Feuerung [km]</t>
  </si>
  <si>
    <t>Summe der Anteile für die Holzherkunft muss 100% ergeben</t>
  </si>
  <si>
    <t>Land der Anwendung / Land der Holzfeuerung</t>
  </si>
  <si>
    <t>Land des Sägewerkes / Land der Verarbeitung / Land der Produktion / Land des Pelletswerks</t>
  </si>
  <si>
    <t>Je nach Produktgruppe benötigt der Rechner andere Angaben:
- Schnittholz: wo steht das Sägewerk, das aus dem Rundholz das Schnittholz fertigt?
- Weichfaser-, Spanplatten, Sperrholz: wo werden die Weichfaser-, Spanplatten oder das Sperrholz zu den gewünschten Produkten verarbeitet? Geht es z.B. um Einbaumöbel, soll hier das Land des Möbelwerks eingetragen werden.
- Lagenholz: in welchem Land werden die Lamellen zu Lagenhölzern verleimt?
- Holzpellets: wo werden die Holzpellets gepresst?</t>
  </si>
  <si>
    <t>In welchem Land wird das Holz oder der Holzwerkstoff eingesetzt, verbaut, oder verbrannt?</t>
  </si>
  <si>
    <t>Umrechnungsfaktoren, Grundlagendatensatz</t>
  </si>
  <si>
    <t>Unter diesen Titeln werden weitere Informationen angeboten. 
Die angezeigten Ergebnisse können mit dem Umrechnungsfaktor multipliziert werden, um die Ergebnisse auf den neuen Bezug umzurechnen. Z.B. Ergebnis/m³ fest * Umrechnungsfaktor auf Ster [m³ fest/Ster] = Ergebnis/Ster
Die Zeile "Grundlagendatensatz" gibt an, mit welchem Ökobilanzdatensatz aus der UVEK-Datenbank 22 das Ergebnis berechnet wird.</t>
  </si>
  <si>
    <t>Hintergrundbericht zum Rechner</t>
  </si>
  <si>
    <t>Std.-Dist Rundholz</t>
  </si>
  <si>
    <t>Std.-Dist Vorprodukt</t>
  </si>
  <si>
    <t>landesintern Rundholz</t>
  </si>
  <si>
    <t>landesintern Vorprodukt</t>
  </si>
  <si>
    <t>Land der Bauteilproduktion</t>
  </si>
  <si>
    <t>Eigene Distanz Transport von der Bauteilproduktion zur Anwendung [km]</t>
  </si>
  <si>
    <t>Standard-Anteil LKW von der Bauteilproduktion zur Anwendung [km]</t>
  </si>
  <si>
    <t>Eigener Anteil LKW von der Bauteilproduktion zur Anwendung [km]</t>
  </si>
  <si>
    <t>Wechseln Sie für die Benutzung des Rechners zum Tabellenblatt "Eingabemaske". Alle Daten werden in dieser Tabelle eingegeben. Die Resultate werden unterhalb der Eingabemaske ausgegeben.
Die weissen Felder sind die Eingabefelder, klicken sie darauf, um die Eingabe zu starten. Wenn es sich um ein Auswahlfeld handelt, erscheint rechts vom Feld ein "Pfeil nach unten"-Symbol. Klicken sie auf dieses um die Auswahl anzuzeigen und einen Eintrag auszuwählen.</t>
  </si>
  <si>
    <t>Holzqualität (Schnittholz)</t>
  </si>
  <si>
    <t xml:space="preserve">Für die Produktgruppe Schnittholz können unterschiedliche Holzqualitäten für Trocknung und Oberflächenbehandlung gewählt werden. </t>
  </si>
  <si>
    <r>
      <t>In der Spalte ganz links sehen Sie eine Auswahl möglicher Herkunftsländer. Die Angaben pro Land erfolgen zeilenweise.
In der Spalte "</t>
    </r>
    <r>
      <rPr>
        <b/>
        <sz val="12"/>
        <rFont val="Arial"/>
        <family val="2"/>
      </rPr>
      <t>Anteil im Produkt</t>
    </r>
    <r>
      <rPr>
        <sz val="12"/>
        <rFont val="Arial"/>
        <family val="2"/>
      </rPr>
      <t xml:space="preserve">" bitte angeben, aus welchen Ländern das Grundmaterial stammt. Geben sie eine Zahl von 0-100 ein. Das Prozentzeichen wird automatisch ergänzt. Die Summe muss 100% ergeben. Je nach Produktgruppe werden andere Angaben erwartet:
- Schnittholz: in welchen Ländern wurde das Rundholz geerntet? Gefragt wird nach den Waldstandorten.
- Weichfaser-, Spanplatten, Sperrholz: wo befinden sich die Spanplattenwerke, welche die verwendeten Platten herstellen?
- Lagenholz: in welchen Ländern werden die Lamellen geschnitten, die im Lagenholz verwendet werden? Gefragt wird nach den Standorten der Sägewerke.
- Stückholz als Energieholz: in welchen Ländern wurde das Stückholz geerntet? Gefragt wird nach den Waldstandorten.
- Holzschnitzel: hier unterschiedet sich die gefragte Herkunft für Holzschnitzel ab Wald oder ab Sägewerk. Im ersten Fall wird nach den Waldstandorten gefragt, im zweiten Fall nach den Standorten der Sägewerke.
In der Spalte </t>
    </r>
    <r>
      <rPr>
        <b/>
        <sz val="12"/>
        <rFont val="Arial"/>
        <family val="2"/>
      </rPr>
      <t>"Eigene Distanz ..."</t>
    </r>
    <r>
      <rPr>
        <sz val="12"/>
        <rFont val="Arial"/>
        <family val="2"/>
      </rPr>
      <t xml:space="preserve"> können Sie eigene Distanzen angeben, wenn Sie diese genau kennen. Ohne Angabe wird die Standard-Distanz verwendet. Je nach Produktgruppe werden andere Distanzen eigetragen:
- Schnittholz: Transport vom Wald zum Sägewerk
- Weichfaser-, Spanplatten, Sperrholz: Transport vom Plattenwerk zum Verarbeitungsstandort. Werden zum Beispiel Einbaumöbel aus Spanplatten produziert, dann wird hier die Distanz vom Spanplattenwerk zum Möbelwerk eingetragen.
- Lagenholz: Transport vom Sägewerk zum Produktionsstandort. Werden zum Beispiel 3-Schicht-Platten produziert, wird hier die Distanz vom Sägewerk zur 3-Schicht-Platten-Produktion eingetragen.
- Stückholz als Energieholz: geben sie die Transportdistanz von der Stückholzherstellung zum Standort der Holzfeuerung an.
- Holzschnitzel: geben sie die Transportdistanz von der Schnitzelherstellung zum Standort der Holzfeuerung an.
Die Spalte </t>
    </r>
    <r>
      <rPr>
        <b/>
        <sz val="12"/>
        <rFont val="Arial"/>
        <family val="2"/>
      </rPr>
      <t>"Eigener Anteil LKW..."</t>
    </r>
    <r>
      <rPr>
        <sz val="12"/>
        <rFont val="Arial"/>
        <family val="2"/>
      </rPr>
      <t xml:space="preserve"> kann verwendet werden, um einen Anteil LKW-Transport anzugeben. Die Differenz zu 100% wird als Bahntransport gerechnet. Ohne Eingabe werden 100% LKW-Transport gerechnet.</t>
    </r>
  </si>
  <si>
    <t>Die Ökobilanz der Herstellung umfasst alle Prozesse von Wachstum des Holzes bis zur Fertigstellung des Produkts und der Anlieferung am Anwendungsort. Wenn die Bilanz nur bis zum Werktor gewünscht ist, kann eine eigene Distanz zur Anwendung oder Feuerung von 0 (null) eingegeben werden.</t>
  </si>
  <si>
    <t>Die Entsorgung wird für die Situation in der Schweiz gerechnet. Nur für diese stehen Daten in der UVEK-Datenbank zur Verfügung.</t>
  </si>
  <si>
    <t>Diese Spalte zeigt die Summe aus Herstellung und Entsorgung.</t>
  </si>
  <si>
    <t>Version 2024.1, Juli 2024</t>
  </si>
  <si>
    <t>Brettsperrholz</t>
  </si>
  <si>
    <t>Cross-laminted timber, average glue mix, at plant - RER</t>
  </si>
  <si>
    <t>Fehler-Nr.?</t>
  </si>
  <si>
    <t>Bitte ein Holzprodukt wählen</t>
  </si>
  <si>
    <t>Trocknung/Oberfläche fehlt</t>
  </si>
  <si>
    <t>Bitte einen Wert für "Trocknung / Oberfläche" wählen</t>
  </si>
  <si>
    <t>Keine Produktgruppe</t>
  </si>
  <si>
    <t>Bitte eine Produktgruppe wählen</t>
  </si>
  <si>
    <t>Pawis GmbH, Schaffhauserstrase 21, 8006 Zürich, pawis.ch, team@pawis.ch</t>
  </si>
  <si>
    <t>Standard-Distanz Trans. vom Wald zur Produktion [km]</t>
  </si>
  <si>
    <t>Eigene Distanz Transport vom Wald zur Produktion [km]</t>
  </si>
  <si>
    <t>Standard-Anteil LKW vom Wald zur Produktion [%]</t>
  </si>
  <si>
    <t>Eigener Anteil LKW vom Wald zur Produktion [%]</t>
  </si>
  <si>
    <t>km</t>
  </si>
  <si>
    <t>Holzdichten</t>
  </si>
  <si>
    <t>[t/m³]</t>
  </si>
  <si>
    <t>[t/m3]</t>
  </si>
  <si>
    <t>Holzdichte trocken [t/m3]</t>
  </si>
  <si>
    <t xml:space="preserve">Rundholz </t>
  </si>
  <si>
    <t>Dichte ab Wald [t/m³]</t>
  </si>
  <si>
    <t/>
  </si>
  <si>
    <t>Standard-Distanz Transport von der Bauteilproduktion zur Anwendung [km]</t>
  </si>
  <si>
    <t>Standard-Distanz Transport vom Sägewerk zur Anwendung [km]</t>
  </si>
  <si>
    <t>Standard-Distanz Transport von der Produktion zur Anwendung [km]</t>
  </si>
  <si>
    <t>Gemischt (78% Laub- / 22% Nadelholz)</t>
  </si>
  <si>
    <t>Gemischt ab Wald (50% Laub- / 50% Nadelholz)</t>
  </si>
  <si>
    <t>Gemischt ab Sägewerk (50% Laub- / 50% Nadelholz)</t>
  </si>
  <si>
    <t>Zum Rechner existiert ein Bericht, in dem die Bedienung des Rechners, die verwendeten Hintergrunddaten und die Funktion erläutert werden. Er kann von folgendem Link heruntergeladen werden:
pawis.ch/werke/publikationen/</t>
  </si>
  <si>
    <t xml:space="preserve">Mit dem Holzrechner können Beschaffende, Planerinnen und Architekten mit wenigen Angaben die Umweltauswirkungen von Holz verschiedenster Herkunft quantifizieren und vergleichen. Der Rechner umfasst die Baustoffe Schnittholz, Weichfaserplatten, Spanplatten, Sperrholz und Lagenholz und die Energiehölzer Stückholz, Holzschnitzel und Holzpellets. Grundlage für den Rechner bildet der KBOB-Ökobilanzdatenbestand 2009/1:2022.
In diesem Rechner werden folgende Umweltindikatoren quantifiziert und ausgewiesen: 
- Primärenergie gesamt (Frischknecht et al. 2015)
- Primärenergie nicht erneuerbar (Erdöl, Erdgas, Kohle, Nuklear)
- Primärenergie erneuerbar (Wasser, Wind, Biomasse, Solar, Umgebungswärme)
- Treibhausgasemissionen, in kg CO2-Äquivalenten (IPCC 2013) 
- Gesamtumweltbelastung, in Umweltbelastungspunkten (Methode der ökologischen Knappheit 2013, Frischknecht &amp; Büsser Knöpfel 2013)
Dieser Rechner wurde mit der gebotenen Sorgfalt aufgrund der verfügbaren Ökobilanzdaten erstellt. Die Autoren lehnen jegliche Haftung für Schäden oder Verluste ab, die durch die Verwendung dieses Rechners entstehen könnten.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</si>
</sst>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E+00"/>
    <numFmt numFmtId="165" formatCode="0.000"/>
  </numFmts>
  <fonts count="29" x14ac:knownFonts="1">
    <font>
      <sz val="12"/>
      <color theme="1"/>
      <name val="Calibri"/>
      <family val="2"/>
      <scheme val="minor"/>
    </font>
    <font>
      <sz val="12"/>
      <color theme="1"/>
      <name val="Calibri"/>
      <family val="2"/>
      <scheme val="minor"/>
    </font>
    <font>
      <sz val="12"/>
      <color theme="1"/>
      <name val="Arial"/>
      <family val="2"/>
    </font>
    <font>
      <sz val="12"/>
      <name val="Arial"/>
      <family val="2"/>
    </font>
    <font>
      <sz val="8"/>
      <name val="Calibri"/>
      <family val="2"/>
      <scheme val="minor"/>
    </font>
    <font>
      <b/>
      <sz val="12"/>
      <color theme="1"/>
      <name val="Arial"/>
      <family val="2"/>
    </font>
    <font>
      <b/>
      <sz val="12"/>
      <color theme="1"/>
      <name val="Calibri"/>
      <family val="2"/>
      <scheme val="minor"/>
    </font>
    <font>
      <i/>
      <sz val="12"/>
      <color theme="1"/>
      <name val="Arial"/>
      <family val="2"/>
    </font>
    <font>
      <sz val="10"/>
      <name val="Arial"/>
      <family val="2"/>
    </font>
    <font>
      <b/>
      <i/>
      <sz val="12"/>
      <color rgb="FFFF0000"/>
      <name val="Arial"/>
      <family val="2"/>
    </font>
    <font>
      <sz val="12"/>
      <color rgb="FFFF0000"/>
      <name val="Arial"/>
      <family val="2"/>
    </font>
    <font>
      <b/>
      <sz val="12"/>
      <name val="Arial"/>
      <family val="2"/>
    </font>
    <font>
      <b/>
      <sz val="16"/>
      <color rgb="FF212121"/>
      <name val="Helvetica"/>
      <family val="2"/>
    </font>
    <font>
      <sz val="16"/>
      <color rgb="FF212121"/>
      <name val="Helvetica"/>
      <family val="2"/>
    </font>
    <font>
      <sz val="12"/>
      <color theme="9" tint="-0.249977111117893"/>
      <name val="Arial"/>
      <family val="2"/>
    </font>
    <font>
      <sz val="12"/>
      <name val="Calibri"/>
      <family val="2"/>
      <scheme val="minor"/>
    </font>
    <font>
      <sz val="12"/>
      <color rgb="FF006100"/>
      <name val="Arial"/>
      <family val="2"/>
    </font>
    <font>
      <sz val="10"/>
      <color rgb="FF000000"/>
      <name val="Tahoma"/>
      <family val="2"/>
    </font>
    <font>
      <b/>
      <sz val="10"/>
      <color rgb="FF000000"/>
      <name val="Tahoma"/>
      <family val="2"/>
    </font>
    <font>
      <sz val="10"/>
      <color rgb="FF000000"/>
      <name val="Calibri"/>
      <family val="2"/>
    </font>
    <font>
      <sz val="16"/>
      <color theme="1"/>
      <name val="Arial"/>
      <family val="2"/>
    </font>
    <font>
      <sz val="16"/>
      <name val="Arial"/>
      <family val="2"/>
    </font>
    <font>
      <b/>
      <sz val="16"/>
      <name val="Arial"/>
      <family val="2"/>
    </font>
    <font>
      <sz val="11"/>
      <color theme="1"/>
      <name val="Arial"/>
      <family val="2"/>
    </font>
    <font>
      <vertAlign val="superscript"/>
      <sz val="11"/>
      <color theme="1"/>
      <name val="Arial"/>
      <family val="2"/>
    </font>
    <font>
      <sz val="24"/>
      <color theme="1"/>
      <name val="Arial"/>
      <family val="2"/>
    </font>
    <font>
      <sz val="12"/>
      <color theme="1" tint="0.34998626667073579"/>
      <name val="Arial"/>
      <family val="2"/>
    </font>
    <font>
      <b/>
      <sz val="12"/>
      <color theme="0" tint="-0.249977111117893"/>
      <name val="Arial"/>
      <family val="2"/>
    </font>
    <font>
      <sz val="12"/>
      <color theme="0" tint="-0.249977111117893"/>
      <name val="Arial"/>
      <family val="2"/>
    </font>
  </fonts>
  <fills count="17">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C5D8CD"/>
        <bgColor indexed="64"/>
      </patternFill>
    </fill>
    <fill>
      <patternFill patternType="solid">
        <fgColor rgb="FF82D8A6"/>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FF9D"/>
        <bgColor indexed="64"/>
      </patternFill>
    </fill>
    <fill>
      <patternFill patternType="solid">
        <fgColor rgb="FFC6EFCE"/>
        <bgColor rgb="FF000000"/>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82D8A6"/>
        <bgColor rgb="FF000000"/>
      </patternFill>
    </fill>
    <fill>
      <patternFill patternType="solid">
        <fgColor rgb="FFDAE6DF"/>
        <bgColor indexed="64"/>
      </patternFill>
    </fill>
    <fill>
      <patternFill patternType="solid">
        <fgColor theme="4" tint="0.79998168889431442"/>
        <bgColor indexed="64"/>
      </patternFill>
    </fill>
  </fills>
  <borders count="21">
    <border>
      <left/>
      <right/>
      <top/>
      <bottom/>
      <diagonal/>
    </border>
    <border>
      <left/>
      <right style="thin">
        <color rgb="FFC5D8CD"/>
      </right>
      <top style="thin">
        <color rgb="FFC5D8CD"/>
      </top>
      <bottom style="thin">
        <color rgb="FFC5D8CD"/>
      </bottom>
      <diagonal/>
    </border>
    <border>
      <left/>
      <right/>
      <top style="thin">
        <color theme="0"/>
      </top>
      <bottom style="thin">
        <color theme="0"/>
      </bottom>
      <diagonal/>
    </border>
    <border>
      <left/>
      <right/>
      <top style="thin">
        <color theme="0"/>
      </top>
      <bottom style="thin">
        <color rgb="FFC5D8CD"/>
      </bottom>
      <diagonal/>
    </border>
    <border>
      <left/>
      <right/>
      <top style="thin">
        <color rgb="FFC5D8CD"/>
      </top>
      <bottom style="thin">
        <color rgb="FFC5D8CD"/>
      </bottom>
      <diagonal/>
    </border>
    <border>
      <left/>
      <right/>
      <top style="thin">
        <color rgb="FFC5D8CD"/>
      </top>
      <bottom style="thin">
        <color theme="0"/>
      </bottom>
      <diagonal/>
    </border>
    <border>
      <left/>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top/>
      <bottom style="thin">
        <color theme="0"/>
      </bottom>
      <diagonal/>
    </border>
    <border>
      <left style="thin">
        <color rgb="FFFFFFFF"/>
      </left>
      <right style="thin">
        <color rgb="FFFFFFFF"/>
      </right>
      <top style="thin">
        <color rgb="FFFFFFFF"/>
      </top>
      <bottom style="thin">
        <color rgb="FFFFFFFF"/>
      </bottom>
      <diagonal/>
    </border>
    <border>
      <left/>
      <right style="thin">
        <color theme="0"/>
      </right>
      <top style="thin">
        <color theme="0"/>
      </top>
      <bottom/>
      <diagonal/>
    </border>
    <border>
      <left/>
      <right/>
      <top/>
      <bottom style="thin">
        <color rgb="FFFFFFF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8" fillId="0" borderId="0"/>
  </cellStyleXfs>
  <cellXfs count="125">
    <xf numFmtId="0" fontId="0" fillId="0" borderId="0" xfId="0"/>
    <xf numFmtId="0" fontId="2" fillId="0" borderId="0" xfId="0" applyFont="1"/>
    <xf numFmtId="0" fontId="2" fillId="0" borderId="0" xfId="0" applyFont="1" applyAlignment="1">
      <alignment wrapText="1"/>
    </xf>
    <xf numFmtId="0" fontId="2" fillId="2" borderId="0" xfId="0" applyFont="1" applyFill="1" applyAlignment="1">
      <alignment wrapText="1"/>
    </xf>
    <xf numFmtId="0" fontId="3" fillId="0" borderId="0" xfId="0" applyFont="1" applyAlignment="1" applyProtection="1">
      <alignment wrapText="1"/>
      <protection locked="0"/>
    </xf>
    <xf numFmtId="0" fontId="0" fillId="0" borderId="0" xfId="0" applyAlignment="1">
      <alignment wrapText="1"/>
    </xf>
    <xf numFmtId="0" fontId="2" fillId="3" borderId="0" xfId="0" applyFont="1" applyFill="1"/>
    <xf numFmtId="0" fontId="2" fillId="4" borderId="0" xfId="0" applyFont="1" applyFill="1"/>
    <xf numFmtId="0" fontId="2" fillId="4" borderId="0" xfId="0" applyFont="1" applyFill="1" applyAlignment="1">
      <alignment horizontal="center"/>
    </xf>
    <xf numFmtId="0" fontId="2" fillId="5" borderId="0" xfId="0" applyFont="1" applyFill="1"/>
    <xf numFmtId="9" fontId="0" fillId="0" borderId="0" xfId="1" applyFont="1"/>
    <xf numFmtId="0" fontId="5" fillId="2" borderId="0" xfId="0" applyFont="1" applyFill="1" applyAlignment="1">
      <alignment wrapText="1"/>
    </xf>
    <xf numFmtId="0" fontId="6" fillId="0" borderId="0" xfId="0" applyFont="1" applyAlignment="1">
      <alignment wrapText="1"/>
    </xf>
    <xf numFmtId="0" fontId="0" fillId="5" borderId="0" xfId="0" applyFill="1"/>
    <xf numFmtId="0" fontId="9" fillId="4" borderId="0" xfId="0" applyFont="1" applyFill="1"/>
    <xf numFmtId="0" fontId="6" fillId="0" borderId="0" xfId="0" applyFont="1"/>
    <xf numFmtId="0" fontId="2" fillId="6" borderId="0" xfId="0" applyFont="1" applyFill="1" applyAlignment="1">
      <alignment wrapText="1"/>
    </xf>
    <xf numFmtId="0" fontId="2" fillId="5" borderId="0" xfId="0" applyFont="1" applyFill="1" applyAlignment="1">
      <alignment wrapText="1"/>
    </xf>
    <xf numFmtId="9" fontId="0" fillId="0" borderId="0" xfId="0" applyNumberFormat="1" applyAlignment="1">
      <alignment wrapText="1"/>
    </xf>
    <xf numFmtId="9" fontId="0" fillId="0" borderId="0" xfId="1" applyFont="1" applyAlignment="1">
      <alignment wrapText="1"/>
    </xf>
    <xf numFmtId="0" fontId="0" fillId="5" borderId="0" xfId="0" applyFill="1" applyAlignment="1">
      <alignment wrapText="1"/>
    </xf>
    <xf numFmtId="0" fontId="2" fillId="4" borderId="2" xfId="0" applyFont="1" applyFill="1" applyBorder="1"/>
    <xf numFmtId="9" fontId="2" fillId="4" borderId="2" xfId="1" applyFont="1" applyFill="1" applyBorder="1"/>
    <xf numFmtId="0" fontId="2" fillId="4" borderId="6" xfId="0" applyFont="1" applyFill="1" applyBorder="1"/>
    <xf numFmtId="9" fontId="2" fillId="4" borderId="6" xfId="1" applyFont="1" applyFill="1" applyBorder="1"/>
    <xf numFmtId="0" fontId="7" fillId="4" borderId="6" xfId="0" applyFont="1" applyFill="1" applyBorder="1"/>
    <xf numFmtId="0" fontId="10" fillId="0" borderId="0" xfId="0" applyFont="1" applyAlignment="1">
      <alignment wrapText="1"/>
    </xf>
    <xf numFmtId="0" fontId="2" fillId="7" borderId="1" xfId="0" applyFont="1" applyFill="1" applyBorder="1" applyAlignment="1">
      <alignment wrapText="1"/>
    </xf>
    <xf numFmtId="0" fontId="2" fillId="4" borderId="6" xfId="0" applyFont="1" applyFill="1" applyBorder="1" applyAlignment="1">
      <alignment horizontal="right"/>
    </xf>
    <xf numFmtId="0" fontId="11" fillId="4" borderId="0" xfId="0" applyFont="1" applyFill="1" applyAlignment="1">
      <alignment wrapText="1"/>
    </xf>
    <xf numFmtId="10" fontId="11" fillId="4" borderId="0" xfId="0" applyNumberFormat="1" applyFont="1" applyFill="1" applyAlignment="1">
      <alignment wrapText="1"/>
    </xf>
    <xf numFmtId="0" fontId="12" fillId="0" borderId="0" xfId="0" applyFont="1" applyAlignment="1">
      <alignment wrapText="1"/>
    </xf>
    <xf numFmtId="0" fontId="13" fillId="0" borderId="0" xfId="0" applyFont="1" applyAlignment="1">
      <alignment wrapText="1"/>
    </xf>
    <xf numFmtId="11" fontId="13" fillId="0" borderId="0" xfId="0" applyNumberFormat="1" applyFont="1" applyAlignment="1">
      <alignment wrapText="1"/>
    </xf>
    <xf numFmtId="0" fontId="2" fillId="0" borderId="1" xfId="0" applyFont="1" applyBorder="1" applyAlignment="1">
      <alignment wrapText="1"/>
    </xf>
    <xf numFmtId="0" fontId="2" fillId="8" borderId="1" xfId="0" applyFont="1" applyFill="1" applyBorder="1" applyAlignment="1">
      <alignment wrapText="1"/>
    </xf>
    <xf numFmtId="0" fontId="3" fillId="0" borderId="0" xfId="2" applyFont="1" applyAlignment="1">
      <alignment wrapText="1"/>
    </xf>
    <xf numFmtId="0" fontId="14" fillId="0" borderId="0" xfId="0" applyFont="1" applyAlignment="1">
      <alignment wrapText="1"/>
    </xf>
    <xf numFmtId="0" fontId="5" fillId="5" borderId="0" xfId="0" applyFont="1" applyFill="1" applyAlignment="1">
      <alignment wrapText="1"/>
    </xf>
    <xf numFmtId="0" fontId="2" fillId="5" borderId="2" xfId="0" applyFont="1" applyFill="1" applyBorder="1"/>
    <xf numFmtId="0" fontId="2" fillId="5" borderId="6" xfId="0" applyFont="1" applyFill="1" applyBorder="1"/>
    <xf numFmtId="0" fontId="5" fillId="5" borderId="8" xfId="0" applyFont="1" applyFill="1" applyBorder="1" applyAlignment="1">
      <alignment wrapText="1"/>
    </xf>
    <xf numFmtId="0" fontId="5" fillId="5" borderId="7" xfId="0" applyFont="1" applyFill="1" applyBorder="1" applyAlignment="1">
      <alignment wrapText="1"/>
    </xf>
    <xf numFmtId="0" fontId="2" fillId="5" borderId="9" xfId="0" applyFont="1" applyFill="1" applyBorder="1"/>
    <xf numFmtId="0" fontId="2" fillId="5" borderId="10" xfId="0" applyFont="1" applyFill="1" applyBorder="1"/>
    <xf numFmtId="0" fontId="2" fillId="5" borderId="11" xfId="0" applyFont="1" applyFill="1" applyBorder="1"/>
    <xf numFmtId="0" fontId="2" fillId="5" borderId="12" xfId="0" applyFont="1" applyFill="1" applyBorder="1"/>
    <xf numFmtId="0" fontId="2" fillId="5" borderId="13" xfId="0" applyFont="1" applyFill="1" applyBorder="1"/>
    <xf numFmtId="0" fontId="15" fillId="0" borderId="0" xfId="0" applyFont="1"/>
    <xf numFmtId="0" fontId="2" fillId="5" borderId="14" xfId="0" applyFont="1" applyFill="1" applyBorder="1"/>
    <xf numFmtId="11" fontId="13" fillId="0" borderId="0" xfId="0" applyNumberFormat="1" applyFont="1"/>
    <xf numFmtId="0" fontId="2" fillId="6" borderId="0" xfId="0" applyFont="1" applyFill="1"/>
    <xf numFmtId="0" fontId="2" fillId="9" borderId="0" xfId="0" applyFont="1" applyFill="1" applyAlignment="1">
      <alignment wrapText="1"/>
    </xf>
    <xf numFmtId="165" fontId="0" fillId="0" borderId="0" xfId="0" applyNumberFormat="1" applyAlignment="1">
      <alignment wrapText="1"/>
    </xf>
    <xf numFmtId="11" fontId="0" fillId="0" borderId="0" xfId="0" applyNumberFormat="1"/>
    <xf numFmtId="0" fontId="2" fillId="10" borderId="0" xfId="0" applyFont="1" applyFill="1" applyAlignment="1">
      <alignment wrapText="1"/>
    </xf>
    <xf numFmtId="0" fontId="0" fillId="0" borderId="0" xfId="0" quotePrefix="1" applyAlignment="1">
      <alignment wrapText="1"/>
    </xf>
    <xf numFmtId="0" fontId="16" fillId="11" borderId="0" xfId="0" applyFont="1" applyFill="1" applyAlignment="1">
      <alignment wrapText="1"/>
    </xf>
    <xf numFmtId="0" fontId="0" fillId="10" borderId="0" xfId="0" applyFill="1" applyAlignment="1">
      <alignment wrapText="1"/>
    </xf>
    <xf numFmtId="0" fontId="0" fillId="12" borderId="0" xfId="0" applyFill="1" applyAlignment="1">
      <alignment wrapText="1"/>
    </xf>
    <xf numFmtId="0" fontId="3" fillId="0" borderId="0" xfId="0" applyFont="1" applyAlignment="1">
      <alignment wrapText="1"/>
    </xf>
    <xf numFmtId="0" fontId="0" fillId="0" borderId="0" xfId="0" quotePrefix="1"/>
    <xf numFmtId="0" fontId="9" fillId="5" borderId="0" xfId="0" applyFont="1" applyFill="1"/>
    <xf numFmtId="0" fontId="7" fillId="5" borderId="0" xfId="0" applyFont="1" applyFill="1"/>
    <xf numFmtId="11" fontId="13" fillId="10" borderId="0" xfId="0" applyNumberFormat="1" applyFont="1" applyFill="1" applyAlignment="1">
      <alignment wrapText="1"/>
    </xf>
    <xf numFmtId="11" fontId="13" fillId="13" borderId="0" xfId="0" applyNumberFormat="1" applyFont="1" applyFill="1" applyAlignment="1">
      <alignment wrapText="1"/>
    </xf>
    <xf numFmtId="0" fontId="0" fillId="10" borderId="0" xfId="0" applyFill="1"/>
    <xf numFmtId="0" fontId="0" fillId="9" borderId="0" xfId="0" applyFill="1" applyAlignment="1">
      <alignment wrapText="1"/>
    </xf>
    <xf numFmtId="0" fontId="2" fillId="5" borderId="16" xfId="0" applyFont="1" applyFill="1" applyBorder="1"/>
    <xf numFmtId="0" fontId="7" fillId="5" borderId="17" xfId="0" applyFont="1" applyFill="1" applyBorder="1"/>
    <xf numFmtId="0" fontId="3" fillId="3" borderId="0" xfId="0" applyFont="1" applyFill="1"/>
    <xf numFmtId="0" fontId="21" fillId="3" borderId="0" xfId="0" applyFont="1" applyFill="1"/>
    <xf numFmtId="0" fontId="22" fillId="3" borderId="0" xfId="0" applyFont="1" applyFill="1"/>
    <xf numFmtId="0" fontId="3" fillId="3" borderId="0" xfId="0" applyFont="1" applyFill="1" applyAlignment="1">
      <alignment vertical="top" wrapText="1"/>
    </xf>
    <xf numFmtId="0" fontId="11" fillId="3" borderId="0" xfId="0" applyFont="1" applyFill="1"/>
    <xf numFmtId="0" fontId="11" fillId="3" borderId="0" xfId="0" applyFont="1" applyFill="1" applyAlignment="1">
      <alignment wrapText="1"/>
    </xf>
    <xf numFmtId="0" fontId="22" fillId="3" borderId="0" xfId="0" applyFont="1" applyFill="1" applyAlignment="1">
      <alignment wrapText="1"/>
    </xf>
    <xf numFmtId="0" fontId="20" fillId="3" borderId="0" xfId="0" applyFont="1" applyFill="1"/>
    <xf numFmtId="0" fontId="5" fillId="3" borderId="0" xfId="0" applyFont="1" applyFill="1"/>
    <xf numFmtId="0" fontId="3" fillId="3" borderId="0" xfId="0" applyFont="1" applyFill="1" applyAlignment="1">
      <alignment horizontal="justify" vertical="top" wrapText="1"/>
    </xf>
    <xf numFmtId="9" fontId="2" fillId="0" borderId="3" xfId="1" applyFont="1" applyFill="1" applyBorder="1" applyProtection="1">
      <protection locked="0"/>
    </xf>
    <xf numFmtId="9" fontId="2" fillId="0" borderId="4" xfId="1" applyFont="1" applyFill="1" applyBorder="1" applyProtection="1">
      <protection locked="0"/>
    </xf>
    <xf numFmtId="9" fontId="2" fillId="0" borderId="4" xfId="0" applyNumberFormat="1" applyFont="1" applyBorder="1" applyProtection="1">
      <protection locked="0"/>
    </xf>
    <xf numFmtId="9" fontId="2" fillId="0" borderId="5" xfId="1" applyFont="1" applyFill="1" applyBorder="1" applyProtection="1">
      <protection locked="0"/>
    </xf>
    <xf numFmtId="0" fontId="2" fillId="0" borderId="3" xfId="0" applyFont="1" applyBorder="1" applyProtection="1">
      <protection locked="0"/>
    </xf>
    <xf numFmtId="0" fontId="2" fillId="0" borderId="4" xfId="0" applyFont="1" applyBorder="1" applyProtection="1">
      <protection locked="0"/>
    </xf>
    <xf numFmtId="0" fontId="2" fillId="0" borderId="5" xfId="0" applyFont="1" applyBorder="1" applyProtection="1">
      <protection locked="0"/>
    </xf>
    <xf numFmtId="9" fontId="2" fillId="0" borderId="5" xfId="1" applyFont="1" applyBorder="1" applyProtection="1">
      <protection locked="0"/>
    </xf>
    <xf numFmtId="9" fontId="2" fillId="0" borderId="4" xfId="1" applyFont="1" applyBorder="1" applyProtection="1">
      <protection locked="0"/>
    </xf>
    <xf numFmtId="9" fontId="2" fillId="0" borderId="3" xfId="1" applyFont="1" applyBorder="1" applyProtection="1">
      <protection locked="0"/>
    </xf>
    <xf numFmtId="0" fontId="5" fillId="4" borderId="0" xfId="0" applyFont="1" applyFill="1"/>
    <xf numFmtId="0" fontId="5" fillId="15" borderId="0" xfId="0" applyFont="1" applyFill="1"/>
    <xf numFmtId="0" fontId="2" fillId="15" borderId="0" xfId="0" applyFont="1" applyFill="1" applyAlignment="1">
      <alignment horizontal="center"/>
    </xf>
    <xf numFmtId="0" fontId="11" fillId="15" borderId="0" xfId="0" applyFont="1" applyFill="1" applyAlignment="1">
      <alignment wrapText="1"/>
    </xf>
    <xf numFmtId="0" fontId="2" fillId="15" borderId="0" xfId="0" applyFont="1" applyFill="1"/>
    <xf numFmtId="9" fontId="2" fillId="15" borderId="0" xfId="1" applyFont="1" applyFill="1" applyBorder="1"/>
    <xf numFmtId="0" fontId="2" fillId="3" borderId="0" xfId="0" applyFont="1" applyFill="1" applyProtection="1">
      <protection locked="0"/>
    </xf>
    <xf numFmtId="9" fontId="2" fillId="3" borderId="0" xfId="1" applyFont="1" applyFill="1" applyBorder="1" applyProtection="1">
      <protection locked="0"/>
    </xf>
    <xf numFmtId="0" fontId="23" fillId="0" borderId="0" xfId="0" applyFont="1"/>
    <xf numFmtId="0" fontId="26" fillId="5" borderId="2" xfId="0" applyFont="1" applyFill="1" applyBorder="1"/>
    <xf numFmtId="0" fontId="26" fillId="5" borderId="13" xfId="0" applyFont="1" applyFill="1" applyBorder="1"/>
    <xf numFmtId="0" fontId="26" fillId="5" borderId="9" xfId="0" applyFont="1" applyFill="1" applyBorder="1"/>
    <xf numFmtId="0" fontId="26" fillId="5" borderId="10" xfId="0" applyFont="1" applyFill="1" applyBorder="1"/>
    <xf numFmtId="0" fontId="26" fillId="14" borderId="15" xfId="0" applyFont="1" applyFill="1" applyBorder="1"/>
    <xf numFmtId="0" fontId="2" fillId="5" borderId="0" xfId="0" applyFont="1" applyFill="1" applyAlignment="1">
      <alignment horizontal="right"/>
    </xf>
    <xf numFmtId="0" fontId="2" fillId="5" borderId="14" xfId="0" applyFont="1" applyFill="1" applyBorder="1" applyAlignment="1">
      <alignment horizontal="right"/>
    </xf>
    <xf numFmtId="0" fontId="2" fillId="15" borderId="0" xfId="0" applyFont="1" applyFill="1" applyAlignment="1">
      <alignment horizontal="right" vertical="center" wrapText="1"/>
    </xf>
    <xf numFmtId="0" fontId="25" fillId="15" borderId="0" xfId="0" applyFont="1" applyFill="1" applyAlignment="1">
      <alignment horizontal="center" vertical="center" wrapText="1"/>
    </xf>
    <xf numFmtId="0" fontId="5" fillId="0" borderId="2" xfId="0" applyFont="1" applyBorder="1"/>
    <xf numFmtId="0" fontId="5" fillId="0" borderId="0" xfId="0" applyFont="1" applyAlignment="1">
      <alignment wrapText="1"/>
    </xf>
    <xf numFmtId="0" fontId="27" fillId="0" borderId="0" xfId="0" applyFont="1" applyAlignment="1">
      <alignment wrapText="1"/>
    </xf>
    <xf numFmtId="164" fontId="2" fillId="0" borderId="0" xfId="0" applyNumberFormat="1" applyFont="1" applyAlignment="1">
      <alignment wrapText="1"/>
    </xf>
    <xf numFmtId="164" fontId="28" fillId="0" borderId="0" xfId="0" applyNumberFormat="1" applyFont="1" applyAlignment="1">
      <alignment wrapText="1"/>
    </xf>
    <xf numFmtId="0" fontId="28" fillId="0" borderId="0" xfId="0" applyFont="1" applyAlignment="1">
      <alignment wrapText="1"/>
    </xf>
    <xf numFmtId="11" fontId="28" fillId="0" borderId="0" xfId="0" applyNumberFormat="1" applyFont="1" applyAlignment="1">
      <alignment wrapText="1"/>
    </xf>
    <xf numFmtId="0" fontId="2" fillId="0" borderId="0" xfId="0" applyFont="1" applyProtection="1">
      <protection locked="0"/>
    </xf>
    <xf numFmtId="9" fontId="2" fillId="0" borderId="0" xfId="0" applyNumberFormat="1" applyFont="1" applyProtection="1">
      <protection locked="0"/>
    </xf>
    <xf numFmtId="2" fontId="2" fillId="0" borderId="0" xfId="0" applyNumberFormat="1" applyFont="1" applyAlignment="1">
      <alignment wrapText="1"/>
    </xf>
    <xf numFmtId="0" fontId="0" fillId="0" borderId="19" xfId="0" applyBorder="1" applyAlignment="1">
      <alignment wrapText="1"/>
    </xf>
    <xf numFmtId="0" fontId="0" fillId="0" borderId="20" xfId="0" applyBorder="1" applyAlignment="1">
      <alignment wrapText="1"/>
    </xf>
    <xf numFmtId="0" fontId="0" fillId="0" borderId="18" xfId="0" applyBorder="1" applyAlignment="1">
      <alignment wrapText="1"/>
    </xf>
    <xf numFmtId="0" fontId="0" fillId="16" borderId="0" xfId="0" applyFill="1"/>
    <xf numFmtId="0" fontId="0" fillId="16" borderId="0" xfId="0" applyFill="1" applyAlignment="1">
      <alignment wrapText="1"/>
    </xf>
    <xf numFmtId="0" fontId="2" fillId="3" borderId="0" xfId="0" applyFont="1" applyFill="1" applyAlignment="1" applyProtection="1">
      <alignment horizontal="center"/>
      <protection locked="0"/>
    </xf>
    <xf numFmtId="0" fontId="2" fillId="0" borderId="0" xfId="0" applyFont="1" applyAlignment="1" applyProtection="1">
      <alignment horizontal="center"/>
      <protection locked="0"/>
    </xf>
  </cellXfs>
  <cellStyles count="3">
    <cellStyle name="Prozent" xfId="1" builtinId="5"/>
    <cellStyle name="Standard" xfId="0" builtinId="0"/>
    <cellStyle name="Standard 2" xfId="2" xr:uid="{30D9AC13-C73B-1741-931B-AEC015B7A047}"/>
  </cellStyles>
  <dxfs count="2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F9D"/>
        </patternFill>
      </fill>
    </dxf>
    <dxf>
      <font>
        <color rgb="FF82D8A6"/>
      </font>
      <border>
        <vertical/>
        <horizontal/>
      </border>
    </dxf>
    <dxf>
      <border>
        <left style="thin">
          <color theme="0"/>
        </left>
        <right style="thin">
          <color theme="0"/>
        </right>
        <top style="thin">
          <color theme="0"/>
        </top>
        <vertical/>
        <horizontal/>
      </border>
    </dxf>
    <dxf>
      <font>
        <color rgb="FF82D8A6"/>
      </font>
    </dxf>
    <dxf>
      <font>
        <color rgb="FF9C0006"/>
      </font>
      <fill>
        <patternFill>
          <bgColor rgb="FFFFC7CE"/>
        </patternFill>
      </fill>
    </dxf>
    <dxf>
      <font>
        <color rgb="FFC5D8CD"/>
      </font>
      <fill>
        <patternFill>
          <bgColor rgb="FFC5D8CD"/>
        </patternFill>
      </fill>
    </dxf>
    <dxf>
      <font>
        <color rgb="FF82D8A6"/>
      </font>
      <border>
        <left style="thin">
          <color rgb="FF82D8A6"/>
        </left>
        <right style="thin">
          <color rgb="FF82D8A6"/>
        </right>
        <top style="thin">
          <color rgb="FF82D8A6"/>
        </top>
        <bottom style="thin">
          <color rgb="FF82D8A6"/>
        </bottom>
        <vertical/>
        <horizontal/>
      </border>
    </dxf>
    <dxf>
      <font>
        <color rgb="FF82D8A6"/>
      </font>
    </dxf>
    <dxf>
      <font>
        <color rgb="FFFF0000"/>
      </font>
      <fill>
        <patternFill>
          <bgColor rgb="FFFFFF9D"/>
        </patternFill>
      </fill>
    </dxf>
    <dxf>
      <font>
        <color rgb="FF82D8A6"/>
      </font>
      <border>
        <left style="thin">
          <color rgb="FF82D8A6"/>
        </left>
        <right style="thin">
          <color rgb="FF82D8A6"/>
        </right>
        <top style="thin">
          <color rgb="FF82D8A6"/>
        </top>
        <bottom style="thin">
          <color rgb="FF82D8A6"/>
        </bottom>
        <vertical/>
        <horizontal/>
      </border>
    </dxf>
    <dxf>
      <font>
        <color rgb="FF82D8A6"/>
      </font>
      <fill>
        <patternFill patternType="solid">
          <fgColor auto="1"/>
          <bgColor rgb="FF82D8A6"/>
        </patternFill>
      </fill>
      <border>
        <left style="thin">
          <color rgb="FF82D8A6"/>
        </left>
        <right style="thin">
          <color rgb="FF82D8A6"/>
        </right>
        <top style="thin">
          <color rgb="FF82D8A6"/>
        </top>
        <bottom style="thin">
          <color rgb="FF82D8A6"/>
        </bottom>
        <vertical/>
        <horizontal/>
      </border>
    </dxf>
    <dxf>
      <font>
        <color rgb="FFC5D8CD"/>
      </font>
      <fill>
        <patternFill>
          <bgColor rgb="FFC5D8CD"/>
        </patternFill>
      </fill>
    </dxf>
    <dxf>
      <font>
        <color rgb="FFDAE6DF"/>
      </font>
      <fill>
        <patternFill>
          <bgColor rgb="FFDAE6DF"/>
        </patternFill>
      </fill>
    </dxf>
    <dxf>
      <font>
        <color rgb="FFC5D8CD"/>
      </font>
      <fill>
        <patternFill>
          <bgColor rgb="FFC5D8CD"/>
        </patternFill>
      </fill>
      <border>
        <left/>
        <right/>
        <top/>
        <bottom/>
      </border>
    </dxf>
  </dxfs>
  <tableStyles count="0" defaultTableStyle="TableStyleMedium2" defaultPivotStyle="PivotStyleLight16"/>
  <colors>
    <mruColors>
      <color rgb="FF82D8A6"/>
      <color rgb="FFFFFF9D"/>
      <color rgb="FFDAE6DF"/>
      <color rgb="FFC5D8CD"/>
      <color rgb="FFACB3A3"/>
      <color rgb="FFC6D8AD"/>
      <color rgb="FFD0D8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12700</xdr:colOff>
      <xdr:row>0</xdr:row>
      <xdr:rowOff>0</xdr:rowOff>
    </xdr:from>
    <xdr:to>
      <xdr:col>1</xdr:col>
      <xdr:colOff>8267700</xdr:colOff>
      <xdr:row>0</xdr:row>
      <xdr:rowOff>749300</xdr:rowOff>
    </xdr:to>
    <xdr:pic>
      <xdr:nvPicPr>
        <xdr:cNvPr id="2" name="Grafik 1">
          <a:extLst>
            <a:ext uri="{FF2B5EF4-FFF2-40B4-BE49-F238E27FC236}">
              <a16:creationId xmlns:a16="http://schemas.microsoft.com/office/drawing/2014/main" id="{4C828109-2389-9D45-BC20-E05836F067F6}"/>
            </a:ext>
          </a:extLst>
        </xdr:cNvPr>
        <xdr:cNvPicPr>
          <a:picLocks/>
        </xdr:cNvPicPr>
      </xdr:nvPicPr>
      <xdr:blipFill>
        <a:blip xmlns:r="http://schemas.openxmlformats.org/officeDocument/2006/relationships" r:embed="rId1"/>
        <a:stretch>
          <a:fillRect/>
        </a:stretch>
      </xdr:blipFill>
      <xdr:spPr>
        <a:xfrm>
          <a:off x="114300" y="0"/>
          <a:ext cx="8255000" cy="749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1409700</xdr:colOff>
      <xdr:row>0</xdr:row>
      <xdr:rowOff>749300</xdr:rowOff>
    </xdr:to>
    <xdr:pic>
      <xdr:nvPicPr>
        <xdr:cNvPr id="5" name="Grafik 4">
          <a:extLst>
            <a:ext uri="{FF2B5EF4-FFF2-40B4-BE49-F238E27FC236}">
              <a16:creationId xmlns:a16="http://schemas.microsoft.com/office/drawing/2014/main" id="{A241EFD9-0277-424D-BE02-7D8F26D2E62E}"/>
            </a:ext>
          </a:extLst>
        </xdr:cNvPr>
        <xdr:cNvPicPr>
          <a:picLocks noChangeAspect="1"/>
        </xdr:cNvPicPr>
      </xdr:nvPicPr>
      <xdr:blipFill>
        <a:blip xmlns:r="http://schemas.openxmlformats.org/officeDocument/2006/relationships" r:embed="rId1"/>
        <a:stretch>
          <a:fillRect/>
        </a:stretch>
      </xdr:blipFill>
      <xdr:spPr>
        <a:xfrm>
          <a:off x="101600" y="0"/>
          <a:ext cx="8255000" cy="7493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niel Savi" id="{EDA92575-592B-D047-98C2-7F692896ED5A}" userId="12bf6e2deb0cd2db" providerId="Windows Live"/>
  <person displayName="Daniel Savi" id="{2B5FC975-5379-DB4B-88D5-DD1B83EB0F9D}" userId="S::dsavi@umweltchemie.onmicrosoft.com::d505e731-da9c-43b9-8b93-48b5c6b1a36c"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2" dT="2023-10-30T16:52:40.58" personId="{EDA92575-592B-D047-98C2-7F692896ED5A}" id="{47AACE43-A325-974B-AE7D-87B605F6A944}">
    <text>Faktor bezieht sich für Spanplatten etc. und Lagenhölzer auf Dichte Produkt ab Werk zu Verarbeitung (also immer = 1)</text>
  </threadedComment>
  <threadedComment ref="F72" dT="2023-10-30T16:51:20.14" personId="{EDA92575-592B-D047-98C2-7F692896ED5A}" id="{90B9976D-1EE8-B840-8DA8-2C7C759AD1E5}">
    <text>Muss gemischt sein, obwohl Laubholz, weil nur so das Holz nicht korrigiert wird</text>
  </threadedComment>
  <threadedComment ref="F73" dT="2023-10-30T16:51:20.14" personId="{EDA92575-592B-D047-98C2-7F692896ED5A}" id="{17B90161-7A97-FA43-89B4-35DA9213B85E}">
    <text>Muss gemischt sein, obwohl Laubholz, weil nur so das Holz nicht korrigiert wird</text>
  </threadedComment>
  <threadedComment ref="G84" dT="2023-06-27T06:29:11.69" personId="{EDA92575-592B-D047-98C2-7F692896ED5A}" id="{9DA846A4-4A31-D749-9203-DF555C46823D}">
    <text>Wird aus Holzmischung gerechnet</text>
  </threadedComment>
  <threadedComment ref="H90" dT="2024-04-12T14:57:33.98" personId="{2B5FC975-5379-DB4B-88D5-DD1B83EB0F9D}" id="{0224EB1A-8A6D-D541-9259-E801CD9305A0}">
    <text>Unklar, weshalb hier die Datensätze nicht fix hinterlegt sind, bei Gelegenheit prüfen</text>
  </threadedComment>
  <threadedComment ref="H91" dT="2024-04-12T14:57:39.39" personId="{2B5FC975-5379-DB4B-88D5-DD1B83EB0F9D}" id="{45EBE17C-F9A2-504B-AA1C-5944A7643277}">
    <text>Unklar, weshalb hier die Datensätze nicht fix hinterlegt sind, bei Gelegenheit prüfen</text>
  </threadedComment>
  <threadedComment ref="H92" dT="2024-04-12T14:59:47.06" personId="{2B5FC975-5379-DB4B-88D5-DD1B83EB0F9D}" id="{BF541A7B-42F8-574A-A75D-D4ED4F4BF8F4}">
    <text>Unklar, weshalb hier die Datensätze nicht fix hinterlegt sind, bei Gelegenheit prüfen</text>
  </threadedComment>
  <threadedComment ref="H93" dT="2024-04-12T14:59:54.00" personId="{2B5FC975-5379-DB4B-88D5-DD1B83EB0F9D}" id="{493C21EF-3CD4-174E-8F94-2F24DA41FF66}">
    <text>Unklar, weshalb hier die Datensätze nicht fix hinterlegt sind, bei Gelegenheit prüfen</text>
  </threadedComment>
  <threadedComment ref="H96" dT="2024-04-12T15:00:10.89" personId="{2B5FC975-5379-DB4B-88D5-DD1B83EB0F9D}" id="{1D8556E7-C2FD-E640-B8ED-9D16984ADE7E}">
    <text>Unklar, weshalb hier die Datensätze nicht fix hinterlegt sind, bei Gelegenheit prüfen</text>
  </threadedComment>
  <threadedComment ref="H97" dT="2024-04-12T15:00:15.61" personId="{2B5FC975-5379-DB4B-88D5-DD1B83EB0F9D}" id="{AB4F8635-ECFC-BD42-B017-8D2BDE1706F7}">
    <text>Unklar, weshalb hier die Datensätze nicht fix hinterlegt sind, bei Gelegenheit prüfen</text>
  </threadedComment>
  <threadedComment ref="H98" dT="2024-04-12T15:00:20.53" personId="{2B5FC975-5379-DB4B-88D5-DD1B83EB0F9D}" id="{B9632307-1C90-4940-ADBB-965D6739017D}">
    <text>Unklar, weshalb hier die Datensätze nicht fix hinterlegt sind, bei Gelegenheit prüfen</text>
  </threadedComment>
  <threadedComment ref="H99" dT="2024-04-12T15:00:25.40" personId="{2B5FC975-5379-DB4B-88D5-DD1B83EB0F9D}" id="{DBAE3EB9-67F9-5145-9C5E-25C6885D1470}">
    <text>Unklar, weshalb hier die Datensätze nicht fix hinterlegt sind, bei Gelegenheit prüfen</text>
  </threadedComment>
</ThreadedComments>
</file>

<file path=xl/threadedComments/threadedComment2.xml><?xml version="1.0" encoding="utf-8"?>
<ThreadedComments xmlns="http://schemas.microsoft.com/office/spreadsheetml/2018/threadedcomments" xmlns:x="http://schemas.openxmlformats.org/spreadsheetml/2006/main">
  <threadedComment ref="P2" dT="2023-06-26T10:51:21.03" personId="{EDA92575-592B-D047-98C2-7F692896ED5A}" id="{A5A3ED1E-7394-CC48-AE65-88FE9CAFCE32}">
    <text>Jahrbuch CH 2021</text>
  </threadedComment>
  <threadedComment ref="R2" dT="2023-06-26T10:51:21.03" personId="{EDA92575-592B-D047-98C2-7F692896ED5A}" id="{A34F20DF-107D-9D4A-B00B-C69D956F85C9}">
    <text>Jahrbuch CH 2021</text>
  </threadedComment>
  <threadedComment ref="P3" dT="2023-06-29T12:21:38.30" personId="{EDA92575-592B-D047-98C2-7F692896ED5A}" id="{AA866A03-7C04-8A41-B67F-1B9C0C16B5D8}">
    <text>aus Datensatz UVEK</text>
  </threadedComment>
  <threadedComment ref="P10" dT="2023-06-29T12:21:56.19" personId="{EDA92575-592B-D047-98C2-7F692896ED5A}" id="{ECC21AAA-4E4A-DB41-9302-7112F099C259}">
    <text>aus Jahrbuch Holzwirtschaft, 2021</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8B378-78DF-D24D-9C1F-C3B192FC3F92}">
  <sheetPr>
    <pageSetUpPr fitToPage="1"/>
  </sheetPr>
  <dimension ref="A1:C34"/>
  <sheetViews>
    <sheetView showGridLines="0" tabSelected="1" zoomScaleNormal="100" workbookViewId="0">
      <selection activeCell="B34" sqref="B34"/>
    </sheetView>
  </sheetViews>
  <sheetFormatPr baseColWidth="10" defaultRowHeight="16" x14ac:dyDescent="0.2"/>
  <cols>
    <col min="1" max="1" width="1.33203125" style="6" customWidth="1"/>
    <col min="2" max="2" width="123.83203125" style="6" customWidth="1"/>
    <col min="3" max="3" width="1.33203125" style="6" customWidth="1"/>
    <col min="4" max="16384" width="10.83203125" style="6"/>
  </cols>
  <sheetData>
    <row r="1" spans="1:3" ht="82" customHeight="1" x14ac:dyDescent="0.2">
      <c r="A1" s="70"/>
      <c r="B1" s="70"/>
      <c r="C1" s="70"/>
    </row>
    <row r="2" spans="1:3" s="77" customFormat="1" ht="30" customHeight="1" x14ac:dyDescent="0.2">
      <c r="A2" s="71"/>
      <c r="B2" s="72" t="s">
        <v>298</v>
      </c>
      <c r="C2" s="71"/>
    </row>
    <row r="3" spans="1:3" ht="255" x14ac:dyDescent="0.2">
      <c r="A3" s="70"/>
      <c r="B3" s="79" t="s">
        <v>399</v>
      </c>
      <c r="C3" s="70"/>
    </row>
    <row r="4" spans="1:3" s="77" customFormat="1" ht="30" customHeight="1" x14ac:dyDescent="0.2">
      <c r="A4" s="71"/>
      <c r="B4" s="72" t="s">
        <v>302</v>
      </c>
      <c r="C4" s="71"/>
    </row>
    <row r="5" spans="1:3" s="78" customFormat="1" ht="17" x14ac:dyDescent="0.2">
      <c r="A5" s="74"/>
      <c r="B5" s="75" t="s">
        <v>303</v>
      </c>
      <c r="C5" s="74"/>
    </row>
    <row r="6" spans="1:3" ht="95" customHeight="1" x14ac:dyDescent="0.2">
      <c r="A6" s="70"/>
      <c r="B6" s="79" t="s">
        <v>363</v>
      </c>
      <c r="C6" s="70"/>
    </row>
    <row r="7" spans="1:3" s="78" customFormat="1" ht="17" x14ac:dyDescent="0.2">
      <c r="A7" s="74"/>
      <c r="B7" s="75" t="s">
        <v>100</v>
      </c>
      <c r="C7" s="74"/>
    </row>
    <row r="8" spans="1:3" ht="61" customHeight="1" x14ac:dyDescent="0.2">
      <c r="A8" s="70"/>
      <c r="B8" s="79" t="s">
        <v>333</v>
      </c>
      <c r="C8" s="70"/>
    </row>
    <row r="9" spans="1:3" s="78" customFormat="1" ht="17" x14ac:dyDescent="0.2">
      <c r="A9" s="74"/>
      <c r="B9" s="75" t="s">
        <v>53</v>
      </c>
      <c r="C9" s="74"/>
    </row>
    <row r="10" spans="1:3" ht="44" customHeight="1" x14ac:dyDescent="0.2">
      <c r="A10" s="70"/>
      <c r="B10" s="79" t="s">
        <v>331</v>
      </c>
      <c r="C10" s="70"/>
    </row>
    <row r="11" spans="1:3" s="78" customFormat="1" ht="17" x14ac:dyDescent="0.2">
      <c r="A11" s="74"/>
      <c r="B11" s="75" t="s">
        <v>364</v>
      </c>
      <c r="C11" s="74"/>
    </row>
    <row r="12" spans="1:3" ht="27" customHeight="1" x14ac:dyDescent="0.2">
      <c r="A12" s="70"/>
      <c r="B12" s="79" t="s">
        <v>365</v>
      </c>
      <c r="C12" s="70"/>
    </row>
    <row r="13" spans="1:3" s="78" customFormat="1" ht="17" customHeight="1" x14ac:dyDescent="0.2">
      <c r="A13" s="74"/>
      <c r="B13" s="75" t="s">
        <v>332</v>
      </c>
      <c r="C13" s="74"/>
    </row>
    <row r="14" spans="1:3" ht="388" x14ac:dyDescent="0.2">
      <c r="A14" s="70"/>
      <c r="B14" s="79" t="s">
        <v>366</v>
      </c>
      <c r="C14" s="70"/>
    </row>
    <row r="15" spans="1:3" s="78" customFormat="1" ht="17" x14ac:dyDescent="0.2">
      <c r="A15" s="74"/>
      <c r="B15" s="75" t="s">
        <v>349</v>
      </c>
      <c r="C15" s="74"/>
    </row>
    <row r="16" spans="1:3" ht="112" customHeight="1" x14ac:dyDescent="0.2">
      <c r="A16" s="70"/>
      <c r="B16" s="79" t="s">
        <v>350</v>
      </c>
      <c r="C16" s="70"/>
    </row>
    <row r="17" spans="1:3" s="78" customFormat="1" ht="17" x14ac:dyDescent="0.2">
      <c r="A17" s="74"/>
      <c r="B17" s="75" t="s">
        <v>348</v>
      </c>
      <c r="C17" s="74"/>
    </row>
    <row r="18" spans="1:3" ht="27" customHeight="1" x14ac:dyDescent="0.2">
      <c r="A18" s="70"/>
      <c r="B18" s="73" t="s">
        <v>351</v>
      </c>
      <c r="C18" s="70"/>
    </row>
    <row r="19" spans="1:3" s="77" customFormat="1" ht="30" customHeight="1" x14ac:dyDescent="0.2">
      <c r="A19" s="71"/>
      <c r="B19" s="76" t="s">
        <v>299</v>
      </c>
      <c r="C19" s="71"/>
    </row>
    <row r="20" spans="1:3" s="78" customFormat="1" ht="17" x14ac:dyDescent="0.2">
      <c r="A20" s="74"/>
      <c r="B20" s="75" t="s">
        <v>40</v>
      </c>
      <c r="C20" s="74"/>
    </row>
    <row r="21" spans="1:3" ht="61" customHeight="1" x14ac:dyDescent="0.2">
      <c r="A21" s="70"/>
      <c r="B21" s="73" t="s">
        <v>367</v>
      </c>
      <c r="C21" s="70"/>
    </row>
    <row r="22" spans="1:3" s="78" customFormat="1" ht="17" x14ac:dyDescent="0.2">
      <c r="A22" s="74"/>
      <c r="B22" s="75" t="s">
        <v>41</v>
      </c>
      <c r="C22" s="74"/>
    </row>
    <row r="23" spans="1:3" ht="27" customHeight="1" x14ac:dyDescent="0.2">
      <c r="A23" s="70"/>
      <c r="B23" s="73" t="s">
        <v>368</v>
      </c>
      <c r="C23" s="70"/>
    </row>
    <row r="24" spans="1:3" s="78" customFormat="1" ht="17" x14ac:dyDescent="0.2">
      <c r="A24" s="74"/>
      <c r="B24" s="75" t="s">
        <v>22</v>
      </c>
      <c r="C24" s="74"/>
    </row>
    <row r="25" spans="1:3" ht="27" customHeight="1" x14ac:dyDescent="0.2">
      <c r="A25" s="70"/>
      <c r="B25" s="73" t="s">
        <v>369</v>
      </c>
      <c r="C25" s="70"/>
    </row>
    <row r="26" spans="1:3" s="78" customFormat="1" ht="17" x14ac:dyDescent="0.2">
      <c r="A26" s="74"/>
      <c r="B26" s="75" t="s">
        <v>352</v>
      </c>
      <c r="C26" s="74"/>
    </row>
    <row r="27" spans="1:3" ht="78" customHeight="1" x14ac:dyDescent="0.2">
      <c r="A27" s="70"/>
      <c r="B27" s="73" t="s">
        <v>353</v>
      </c>
      <c r="C27" s="70"/>
    </row>
    <row r="28" spans="1:3" s="77" customFormat="1" ht="30" customHeight="1" x14ac:dyDescent="0.2">
      <c r="A28" s="71"/>
      <c r="B28" s="72" t="s">
        <v>300</v>
      </c>
      <c r="C28" s="71"/>
    </row>
    <row r="29" spans="1:3" x14ac:dyDescent="0.2">
      <c r="A29" s="70"/>
      <c r="B29" s="70" t="s">
        <v>301</v>
      </c>
      <c r="C29" s="70"/>
    </row>
    <row r="30" spans="1:3" x14ac:dyDescent="0.2">
      <c r="A30" s="70"/>
      <c r="B30" s="70" t="s">
        <v>379</v>
      </c>
      <c r="C30" s="70"/>
    </row>
    <row r="31" spans="1:3" x14ac:dyDescent="0.2">
      <c r="A31" s="70"/>
      <c r="B31" s="70" t="s">
        <v>370</v>
      </c>
      <c r="C31" s="70"/>
    </row>
    <row r="32" spans="1:3" s="77" customFormat="1" ht="30" customHeight="1" x14ac:dyDescent="0.2">
      <c r="A32" s="71"/>
      <c r="B32" s="72" t="s">
        <v>354</v>
      </c>
      <c r="C32" s="71"/>
    </row>
    <row r="33" spans="1:3" s="77" customFormat="1" ht="63" customHeight="1" x14ac:dyDescent="0.2">
      <c r="A33" s="71"/>
      <c r="B33" s="79" t="s">
        <v>398</v>
      </c>
      <c r="C33" s="71"/>
    </row>
    <row r="34" spans="1:3" x14ac:dyDescent="0.2">
      <c r="A34" s="70"/>
      <c r="B34" s="70"/>
      <c r="C34" s="70"/>
    </row>
  </sheetData>
  <sheetProtection algorithmName="SHA-512" hashValue="KZq7YXazd9hSfcCLMoiHONnctXXrD0CzDU2Nzs0RfhQvkBNW6peyyXckHGDhH59wCupxa60i7HXRAjGw+VF3gQ==" saltValue="mQb24dI7J7AQcgMxQxkgpg==" spinCount="100000" sheet="1" objects="1" scenarios="1" selectLockedCells="1"/>
  <pageMargins left="0.7" right="0.7" top="0.78740157499999996" bottom="0.78740157499999996" header="0.3" footer="0.3"/>
  <pageSetup paperSize="9" scale="45"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51047-D8A3-4146-930D-F346DC93251F}">
  <dimension ref="A1:G5"/>
  <sheetViews>
    <sheetView workbookViewId="0">
      <selection activeCell="B5" sqref="B5"/>
    </sheetView>
  </sheetViews>
  <sheetFormatPr baseColWidth="10" defaultRowHeight="16" x14ac:dyDescent="0.2"/>
  <cols>
    <col min="1" max="1" width="52" bestFit="1" customWidth="1"/>
    <col min="2" max="2" width="10.1640625" bestFit="1" customWidth="1"/>
    <col min="3" max="3" width="31.1640625" bestFit="1" customWidth="1"/>
    <col min="4" max="4" width="14.33203125" bestFit="1" customWidth="1"/>
    <col min="5" max="5" width="21.83203125" bestFit="1" customWidth="1"/>
    <col min="6" max="6" width="11.83203125" bestFit="1" customWidth="1"/>
    <col min="7" max="7" width="10.1640625" bestFit="1" customWidth="1"/>
  </cols>
  <sheetData>
    <row r="1" spans="1:7" s="66" customFormat="1" x14ac:dyDescent="0.2">
      <c r="A1" s="66" t="s">
        <v>277</v>
      </c>
    </row>
    <row r="2" spans="1:7" x14ac:dyDescent="0.2">
      <c r="A2" t="s">
        <v>100</v>
      </c>
      <c r="B2" t="str">
        <f>'Hilfstab Eingabemaske'!B$1</f>
        <v>Schnittholz</v>
      </c>
      <c r="C2" t="str">
        <f>'Hilfstab Eingabemaske'!C$1</f>
        <v>Weichfaser-, Spanplatten, Sperrholz</v>
      </c>
      <c r="D2" t="str">
        <f>'Hilfstab Eingabemaske'!D$1</f>
        <v>Lagenholz</v>
      </c>
      <c r="E2" t="str">
        <f>'Hilfstab Eingabemaske'!E$1</f>
        <v>Stückholz als Energieholz</v>
      </c>
      <c r="F2" t="str">
        <f>'Hilfstab Eingabemaske'!F$1</f>
        <v>Holzschnitzel</v>
      </c>
      <c r="G2" t="str">
        <f>'Hilfstab Eingabemaske'!G$1</f>
        <v>Holzpellets</v>
      </c>
    </row>
    <row r="3" spans="1:7" x14ac:dyDescent="0.2">
      <c r="A3" t="s">
        <v>278</v>
      </c>
      <c r="B3">
        <f>0.06*0.83*0.37+0.94*0.37</f>
        <v>0.366226</v>
      </c>
      <c r="C3">
        <f>B3</f>
        <v>0.366226</v>
      </c>
      <c r="D3">
        <f>B3</f>
        <v>0.366226</v>
      </c>
      <c r="E3">
        <v>0</v>
      </c>
      <c r="F3">
        <v>0</v>
      </c>
      <c r="G3">
        <v>0</v>
      </c>
    </row>
    <row r="5" spans="1:7" s="66" customFormat="1" x14ac:dyDescent="0.2">
      <c r="A5" s="66" t="s">
        <v>283</v>
      </c>
      <c r="B5" s="66">
        <v>2.8</v>
      </c>
    </row>
  </sheetData>
  <pageMargins left="0.7" right="0.7" top="0.78740157499999996" bottom="0.78740157499999996"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80136-BB0F-9B47-B9E1-DA2E6B5CE0A7}">
  <dimension ref="A1:H22"/>
  <sheetViews>
    <sheetView zoomScale="120" zoomScaleNormal="120" workbookViewId="0">
      <selection activeCell="D11" sqref="D11"/>
    </sheetView>
  </sheetViews>
  <sheetFormatPr baseColWidth="10" defaultRowHeight="16" x14ac:dyDescent="0.2"/>
  <cols>
    <col min="1" max="1" width="29" style="5" customWidth="1"/>
    <col min="2" max="2" width="19.6640625" style="5" bestFit="1" customWidth="1"/>
    <col min="3" max="3" width="25.33203125" style="5" bestFit="1" customWidth="1"/>
    <col min="4" max="4" width="19.6640625" style="5" bestFit="1" customWidth="1"/>
    <col min="5" max="5" width="26.5" style="5" customWidth="1"/>
    <col min="6" max="6" width="31.83203125" style="5" customWidth="1"/>
    <col min="7" max="7" width="26.1640625" style="5" customWidth="1"/>
    <col min="8" max="16384" width="10.83203125" style="5"/>
  </cols>
  <sheetData>
    <row r="1" spans="1:7" s="12" customFormat="1" ht="34" x14ac:dyDescent="0.2">
      <c r="A1" s="12" t="s">
        <v>100</v>
      </c>
      <c r="B1" s="12" t="s">
        <v>0</v>
      </c>
      <c r="C1" s="12" t="s">
        <v>217</v>
      </c>
      <c r="D1" s="12" t="s">
        <v>304</v>
      </c>
      <c r="E1" s="12" t="s">
        <v>103</v>
      </c>
      <c r="F1" s="12" t="s">
        <v>102</v>
      </c>
      <c r="G1" s="12" t="s">
        <v>101</v>
      </c>
    </row>
    <row r="2" spans="1:7" ht="17" x14ac:dyDescent="0.2">
      <c r="A2" s="12" t="s">
        <v>37</v>
      </c>
      <c r="B2" s="5" t="s">
        <v>10</v>
      </c>
      <c r="C2" s="5" t="s">
        <v>10</v>
      </c>
      <c r="D2" s="5" t="s">
        <v>10</v>
      </c>
      <c r="E2" s="5" t="s">
        <v>10</v>
      </c>
      <c r="F2" s="5" t="s">
        <v>10</v>
      </c>
      <c r="G2" s="5" t="s">
        <v>11</v>
      </c>
    </row>
    <row r="3" spans="1:7" ht="17" x14ac:dyDescent="0.2">
      <c r="A3" s="12" t="s">
        <v>31</v>
      </c>
      <c r="B3" s="5" t="s">
        <v>10</v>
      </c>
      <c r="C3" s="5" t="s">
        <v>11</v>
      </c>
      <c r="D3" s="5" t="s">
        <v>11</v>
      </c>
      <c r="E3" s="5" t="s">
        <v>11</v>
      </c>
      <c r="F3" s="5" t="s">
        <v>11</v>
      </c>
      <c r="G3" s="5" t="s">
        <v>11</v>
      </c>
    </row>
    <row r="4" spans="1:7" ht="34" x14ac:dyDescent="0.2">
      <c r="A4" s="12" t="s">
        <v>74</v>
      </c>
      <c r="B4" s="5" t="s">
        <v>75</v>
      </c>
      <c r="C4" s="5" t="s">
        <v>308</v>
      </c>
      <c r="D4" s="5" t="s">
        <v>75</v>
      </c>
      <c r="E4" s="5" t="s">
        <v>105</v>
      </c>
      <c r="F4" s="5" t="s">
        <v>76</v>
      </c>
      <c r="G4" s="5" t="str">
        <f>""</f>
        <v/>
      </c>
    </row>
    <row r="5" spans="1:7" ht="17" x14ac:dyDescent="0.2">
      <c r="A5" s="12" t="s">
        <v>9</v>
      </c>
      <c r="B5" s="5" t="s">
        <v>10</v>
      </c>
      <c r="C5" s="5" t="s">
        <v>10</v>
      </c>
      <c r="D5" s="5" t="s">
        <v>10</v>
      </c>
      <c r="E5" s="5" t="s">
        <v>10</v>
      </c>
      <c r="F5" s="5" t="s">
        <v>10</v>
      </c>
      <c r="G5" s="5" t="s">
        <v>11</v>
      </c>
    </row>
    <row r="6" spans="1:7" ht="51" x14ac:dyDescent="0.2">
      <c r="A6" s="12" t="s">
        <v>26</v>
      </c>
      <c r="B6" s="5" t="s">
        <v>38</v>
      </c>
      <c r="C6" s="5" t="s">
        <v>306</v>
      </c>
      <c r="D6" s="5" t="s">
        <v>380</v>
      </c>
      <c r="E6" s="5" t="s">
        <v>345</v>
      </c>
      <c r="F6" s="5" t="s">
        <v>346</v>
      </c>
      <c r="G6" s="5" t="str">
        <f>""</f>
        <v/>
      </c>
    </row>
    <row r="7" spans="1:7" ht="51" x14ac:dyDescent="0.2">
      <c r="A7" s="12" t="s">
        <v>27</v>
      </c>
      <c r="B7" s="5" t="s">
        <v>28</v>
      </c>
      <c r="C7" s="5" t="s">
        <v>307</v>
      </c>
      <c r="D7" s="5" t="s">
        <v>381</v>
      </c>
      <c r="E7" s="5" t="s">
        <v>344</v>
      </c>
      <c r="F7" s="5" t="s">
        <v>343</v>
      </c>
      <c r="G7" s="5" t="str">
        <f>""</f>
        <v/>
      </c>
    </row>
    <row r="8" spans="1:7" ht="51" x14ac:dyDescent="0.2">
      <c r="A8" s="12" t="s">
        <v>32</v>
      </c>
      <c r="B8" s="5" t="s">
        <v>34</v>
      </c>
      <c r="C8" s="5" t="s">
        <v>329</v>
      </c>
      <c r="D8" s="5" t="s">
        <v>382</v>
      </c>
      <c r="E8" s="5" t="s">
        <v>341</v>
      </c>
      <c r="F8" s="5" t="s">
        <v>342</v>
      </c>
      <c r="G8" s="5" t="str">
        <f>""</f>
        <v/>
      </c>
    </row>
    <row r="9" spans="1:7" ht="51" x14ac:dyDescent="0.2">
      <c r="A9" s="12" t="s">
        <v>33</v>
      </c>
      <c r="B9" s="5" t="s">
        <v>35</v>
      </c>
      <c r="C9" s="5" t="s">
        <v>330</v>
      </c>
      <c r="D9" s="5" t="s">
        <v>383</v>
      </c>
      <c r="E9" s="5" t="s">
        <v>340</v>
      </c>
      <c r="F9" s="5" t="s">
        <v>339</v>
      </c>
      <c r="G9" s="5" t="str">
        <f>""</f>
        <v/>
      </c>
    </row>
    <row r="10" spans="1:7" ht="17" x14ac:dyDescent="0.2">
      <c r="A10" s="12" t="s">
        <v>24</v>
      </c>
      <c r="B10" s="5" t="s">
        <v>25</v>
      </c>
      <c r="C10" s="5" t="s">
        <v>359</v>
      </c>
      <c r="D10" s="5" t="s">
        <v>309</v>
      </c>
      <c r="E10" s="5" t="str">
        <f>""</f>
        <v/>
      </c>
      <c r="F10" s="5" t="str">
        <f>""</f>
        <v/>
      </c>
      <c r="G10" s="5" t="s">
        <v>104</v>
      </c>
    </row>
    <row r="11" spans="1:7" ht="68" x14ac:dyDescent="0.2">
      <c r="A11" s="12" t="s">
        <v>26</v>
      </c>
      <c r="B11" s="5" t="s">
        <v>393</v>
      </c>
      <c r="C11" s="5" t="s">
        <v>392</v>
      </c>
      <c r="D11" s="5" t="s">
        <v>394</v>
      </c>
      <c r="E11" s="5" t="str">
        <f>""</f>
        <v/>
      </c>
      <c r="F11" s="5" t="str">
        <f>""</f>
        <v/>
      </c>
      <c r="G11" s="5" t="s">
        <v>338</v>
      </c>
    </row>
    <row r="12" spans="1:7" ht="68" x14ac:dyDescent="0.2">
      <c r="A12" s="12" t="s">
        <v>27</v>
      </c>
      <c r="B12" s="5" t="s">
        <v>50</v>
      </c>
      <c r="C12" s="5" t="s">
        <v>360</v>
      </c>
      <c r="D12" s="5" t="s">
        <v>310</v>
      </c>
      <c r="E12" s="5" t="str">
        <f>""</f>
        <v/>
      </c>
      <c r="F12" s="5" t="str">
        <f>""</f>
        <v/>
      </c>
      <c r="G12" s="5" t="s">
        <v>337</v>
      </c>
    </row>
    <row r="13" spans="1:7" ht="51" x14ac:dyDescent="0.2">
      <c r="A13" s="12" t="s">
        <v>32</v>
      </c>
      <c r="B13" s="5" t="s">
        <v>51</v>
      </c>
      <c r="C13" s="5" t="s">
        <v>361</v>
      </c>
      <c r="D13" s="5" t="s">
        <v>311</v>
      </c>
      <c r="E13" s="5" t="str">
        <f>""</f>
        <v/>
      </c>
      <c r="F13" s="5" t="str">
        <f>""</f>
        <v/>
      </c>
      <c r="G13" s="5" t="s">
        <v>336</v>
      </c>
    </row>
    <row r="14" spans="1:7" ht="51" x14ac:dyDescent="0.2">
      <c r="A14" s="12" t="s">
        <v>33</v>
      </c>
      <c r="B14" s="5" t="s">
        <v>52</v>
      </c>
      <c r="C14" s="5" t="s">
        <v>362</v>
      </c>
      <c r="D14" s="5" t="s">
        <v>312</v>
      </c>
      <c r="E14" s="5" t="str">
        <f>""</f>
        <v/>
      </c>
      <c r="F14" s="5" t="str">
        <f>""</f>
        <v/>
      </c>
      <c r="G14" s="5" t="s">
        <v>335</v>
      </c>
    </row>
    <row r="15" spans="1:7" ht="17" x14ac:dyDescent="0.2">
      <c r="A15" s="12" t="s">
        <v>261</v>
      </c>
      <c r="B15" s="5" t="s">
        <v>36</v>
      </c>
      <c r="C15" s="5" t="s">
        <v>36</v>
      </c>
      <c r="D15" s="5" t="s">
        <v>36</v>
      </c>
      <c r="E15" s="5" t="s">
        <v>334</v>
      </c>
      <c r="F15" s="5" t="s">
        <v>334</v>
      </c>
      <c r="G15" s="5" t="s">
        <v>334</v>
      </c>
    </row>
    <row r="16" spans="1:7" ht="34" x14ac:dyDescent="0.2">
      <c r="A16" s="12" t="s">
        <v>244</v>
      </c>
      <c r="B16" s="5" t="s">
        <v>41</v>
      </c>
      <c r="C16" s="5" t="s">
        <v>41</v>
      </c>
      <c r="D16" s="5" t="s">
        <v>41</v>
      </c>
      <c r="E16" s="5" t="str">
        <f>""</f>
        <v/>
      </c>
      <c r="F16" s="5" t="str">
        <f>""</f>
        <v/>
      </c>
      <c r="G16" s="5" t="str">
        <f>""</f>
        <v/>
      </c>
    </row>
    <row r="17" spans="1:8" ht="17" x14ac:dyDescent="0.2">
      <c r="A17" s="12" t="s">
        <v>264</v>
      </c>
      <c r="B17" s="5" t="s">
        <v>71</v>
      </c>
      <c r="C17" s="5" t="str">
        <f>""</f>
        <v/>
      </c>
      <c r="D17" s="5" t="s">
        <v>71</v>
      </c>
      <c r="E17" s="5" t="s">
        <v>290</v>
      </c>
      <c r="F17" s="5" t="s">
        <v>291</v>
      </c>
      <c r="G17" s="5" t="str">
        <f>""</f>
        <v/>
      </c>
    </row>
    <row r="18" spans="1:8" ht="17" x14ac:dyDescent="0.2">
      <c r="A18" s="12" t="s">
        <v>268</v>
      </c>
      <c r="B18" s="5" t="s">
        <v>40</v>
      </c>
      <c r="C18" s="5" t="s">
        <v>270</v>
      </c>
      <c r="D18" s="5" t="s">
        <v>40</v>
      </c>
      <c r="E18" s="5" t="s">
        <v>40</v>
      </c>
      <c r="F18" s="5" t="s">
        <v>40</v>
      </c>
      <c r="G18" s="5" t="s">
        <v>270</v>
      </c>
    </row>
    <row r="19" spans="1:8" ht="17" x14ac:dyDescent="0.2">
      <c r="A19" s="12" t="s">
        <v>269</v>
      </c>
      <c r="B19" s="5" t="str">
        <f>""</f>
        <v/>
      </c>
      <c r="C19" s="5" t="s">
        <v>271</v>
      </c>
      <c r="D19" s="5" t="str">
        <f>""</f>
        <v/>
      </c>
      <c r="E19" s="5" t="str">
        <f>""</f>
        <v/>
      </c>
      <c r="F19" s="5" t="str">
        <f>""</f>
        <v/>
      </c>
      <c r="G19" s="5" t="s">
        <v>271</v>
      </c>
    </row>
    <row r="20" spans="1:8" ht="17" x14ac:dyDescent="0.2">
      <c r="A20" s="12" t="s">
        <v>314</v>
      </c>
      <c r="B20" s="98" t="s">
        <v>315</v>
      </c>
      <c r="C20" s="98" t="s">
        <v>316</v>
      </c>
      <c r="D20" s="98" t="s">
        <v>316</v>
      </c>
      <c r="E20" s="98" t="s">
        <v>316</v>
      </c>
      <c r="F20" s="98" t="s">
        <v>316</v>
      </c>
      <c r="G20" s="98" t="s">
        <v>316</v>
      </c>
      <c r="H20" s="98" t="s">
        <v>316</v>
      </c>
    </row>
    <row r="21" spans="1:8" ht="51" x14ac:dyDescent="0.2">
      <c r="A21" s="5" t="s">
        <v>317</v>
      </c>
      <c r="B21" s="5" t="s">
        <v>325</v>
      </c>
      <c r="C21" s="5" t="str">
        <f>""</f>
        <v/>
      </c>
      <c r="D21" s="5" t="str">
        <f>""</f>
        <v/>
      </c>
      <c r="E21" s="5" t="s">
        <v>326</v>
      </c>
      <c r="F21" s="5" t="str">
        <f>""</f>
        <v/>
      </c>
      <c r="G21" s="5" t="str">
        <f>E21</f>
        <v>Umrechnungsfaktor auf Schüttvolumen [m³ fest/m³ SRM]:</v>
      </c>
    </row>
    <row r="22" spans="1:8" ht="17" x14ac:dyDescent="0.2">
      <c r="A22" s="5" t="s">
        <v>318</v>
      </c>
      <c r="B22" s="5">
        <f>ROUND(1/1.4,4)</f>
        <v>0.71430000000000005</v>
      </c>
      <c r="C22" s="5" t="str">
        <f>""</f>
        <v/>
      </c>
      <c r="D22" s="5" t="str">
        <f>""</f>
        <v/>
      </c>
      <c r="E22" s="5">
        <f>ROUND(1/2.8,4)</f>
        <v>0.35709999999999997</v>
      </c>
      <c r="F22" s="5" t="str">
        <f>""</f>
        <v/>
      </c>
      <c r="G22" s="5">
        <f>ROUND(1/0.8,3)</f>
        <v>1.25</v>
      </c>
    </row>
  </sheetData>
  <phoneticPr fontId="4" type="noConversion"/>
  <pageMargins left="0.7" right="0.7" top="0.78740157499999996" bottom="0.78740157499999996"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21A0D-5FA9-F749-B05A-CED36C248E2D}">
  <dimension ref="A1:G22"/>
  <sheetViews>
    <sheetView workbookViewId="0">
      <selection activeCell="F8" sqref="F8"/>
    </sheetView>
  </sheetViews>
  <sheetFormatPr baseColWidth="10" defaultColWidth="22.5" defaultRowHeight="16" x14ac:dyDescent="0.2"/>
  <cols>
    <col min="1" max="16384" width="22.5" style="2"/>
  </cols>
  <sheetData>
    <row r="1" spans="1:7" s="11" customFormat="1" ht="17" x14ac:dyDescent="0.2">
      <c r="A1" s="11" t="s">
        <v>1</v>
      </c>
    </row>
    <row r="2" spans="1:7" s="3" customFormat="1" ht="34" x14ac:dyDescent="0.2">
      <c r="A2" s="3" t="s">
        <v>12</v>
      </c>
      <c r="B2" s="3" t="str">
        <f>'Hilfstab Eingabemaske'!B$1</f>
        <v>Schnittholz</v>
      </c>
      <c r="C2" s="3" t="str">
        <f>'Hilfstab Eingabemaske'!C$1</f>
        <v>Weichfaser-, Spanplatten, Sperrholz</v>
      </c>
      <c r="D2" s="3" t="str">
        <f>'Hilfstab Eingabemaske'!D$1</f>
        <v>Lagenholz</v>
      </c>
      <c r="E2" s="3" t="str">
        <f>'Hilfstab Eingabemaske'!E$1</f>
        <v>Stückholz als Energieholz</v>
      </c>
      <c r="F2" s="3" t="str">
        <f>'Hilfstab Eingabemaske'!F$1</f>
        <v>Holzschnitzel</v>
      </c>
      <c r="G2" s="3" t="str">
        <f>'Hilfstab Eingabemaske'!G$1</f>
        <v>Holzpellets</v>
      </c>
    </row>
    <row r="3" spans="1:7" ht="17" x14ac:dyDescent="0.2">
      <c r="A3" s="2" t="e">
        <f>IF(LEN(HLOOKUP(Eingabemaske!$D$3,'Hilfstab Menus'!$B$2:$G$14,ROW(A3)-1,FALSE))&gt;0,HLOOKUP(Eingabemaske!$D$3,'Hilfstab Menus'!$B$2:$G$14,ROW(A3)-1,FALSE),"")</f>
        <v>#N/A</v>
      </c>
      <c r="B3" s="2" t="s">
        <v>3</v>
      </c>
      <c r="C3" s="2" t="s">
        <v>2</v>
      </c>
      <c r="D3" s="2" t="s">
        <v>305</v>
      </c>
      <c r="E3" s="2" t="s">
        <v>88</v>
      </c>
      <c r="F3" s="2" t="s">
        <v>79</v>
      </c>
    </row>
    <row r="4" spans="1:7" ht="34" x14ac:dyDescent="0.2">
      <c r="A4" s="2" t="e">
        <f>IF(LEN(HLOOKUP(Eingabemaske!$D$3,'Hilfstab Menus'!$B$2:$G$14,ROW(A4)-1,FALSE))&gt;0,HLOOKUP(Eingabemaske!$D$3,'Hilfstab Menus'!$B$2:$G$14,ROW(A4)-1,FALSE),"")</f>
        <v>#N/A</v>
      </c>
      <c r="B4" s="2" t="s">
        <v>4</v>
      </c>
      <c r="C4" s="2" t="s">
        <v>272</v>
      </c>
      <c r="D4" s="2" t="s">
        <v>205</v>
      </c>
      <c r="E4" s="2" t="s">
        <v>89</v>
      </c>
      <c r="F4" s="2" t="s">
        <v>81</v>
      </c>
    </row>
    <row r="5" spans="1:7" ht="34" x14ac:dyDescent="0.2">
      <c r="A5" s="2" t="e">
        <f>IF(LEN(HLOOKUP(Eingabemaske!$D$3,'Hilfstab Menus'!$B$2:$G$14,ROW(A5)-1,FALSE))&gt;0,HLOOKUP(Eingabemaske!$D$3,'Hilfstab Menus'!$B$2:$G$14,ROW(A5)-1,FALSE),"")</f>
        <v>#N/A</v>
      </c>
      <c r="B5" s="2" t="s">
        <v>7</v>
      </c>
      <c r="C5" s="2" t="s">
        <v>190</v>
      </c>
      <c r="D5" s="2" t="s">
        <v>371</v>
      </c>
      <c r="E5" s="2" t="s">
        <v>395</v>
      </c>
      <c r="F5" s="2" t="s">
        <v>80</v>
      </c>
    </row>
    <row r="6" spans="1:7" ht="34" x14ac:dyDescent="0.2">
      <c r="A6" s="2" t="e">
        <f>IF(LEN(HLOOKUP(Eingabemaske!$D$3,'Hilfstab Menus'!$B$2:$G$14,ROW(A6)-1,FALSE))&gt;0,HLOOKUP(Eingabemaske!$D$3,'Hilfstab Menus'!$B$2:$G$14,ROW(A6)-1,FALSE),"")</f>
        <v>#N/A</v>
      </c>
      <c r="B6" s="2" t="s">
        <v>5</v>
      </c>
      <c r="C6" s="2" t="s">
        <v>191</v>
      </c>
      <c r="D6" s="2" t="s">
        <v>209</v>
      </c>
      <c r="F6" s="2" t="s">
        <v>82</v>
      </c>
    </row>
    <row r="7" spans="1:7" ht="51" x14ac:dyDescent="0.2">
      <c r="A7" s="2" t="e">
        <f>IF(LEN(HLOOKUP(Eingabemaske!$D$3,'Hilfstab Menus'!$B$2:$G$14,ROW(A7)-1,FALSE))&gt;0,HLOOKUP(Eingabemaske!$D$3,'Hilfstab Menus'!$B$2:$G$14,ROW(A7)-1,FALSE),"")</f>
        <v>#N/A</v>
      </c>
      <c r="B7" s="2" t="s">
        <v>8</v>
      </c>
      <c r="C7" s="2" t="s">
        <v>206</v>
      </c>
      <c r="F7" s="2" t="s">
        <v>396</v>
      </c>
    </row>
    <row r="8" spans="1:7" ht="51" x14ac:dyDescent="0.2">
      <c r="A8" s="2" t="e">
        <f>IF(LEN(HLOOKUP(Eingabemaske!$D$3,'Hilfstab Menus'!$B$2:$G$14,ROW(A8)-1,FALSE))&gt;0,HLOOKUP(Eingabemaske!$D$3,'Hilfstab Menus'!$B$2:$G$14,ROW(A8)-1,FALSE),"")</f>
        <v>#N/A</v>
      </c>
      <c r="B8" s="2" t="s">
        <v>6</v>
      </c>
      <c r="C8" s="2" t="s">
        <v>207</v>
      </c>
      <c r="F8" s="2" t="s">
        <v>397</v>
      </c>
    </row>
    <row r="9" spans="1:7" ht="34" x14ac:dyDescent="0.2">
      <c r="A9" s="2" t="e">
        <f>IF(LEN(HLOOKUP(Eingabemaske!$D$3,'Hilfstab Menus'!$B$2:$G$14,ROW(A9)-1,FALSE))&gt;0,HLOOKUP(Eingabemaske!$D$3,'Hilfstab Menus'!$B$2:$G$14,ROW(A9)-1,FALSE),"")</f>
        <v>#N/A</v>
      </c>
      <c r="C9" s="2" t="s">
        <v>208</v>
      </c>
      <c r="F9" s="26"/>
    </row>
    <row r="10" spans="1:7" ht="17" x14ac:dyDescent="0.2">
      <c r="A10" s="2" t="e">
        <f>IF(LEN(HLOOKUP(Eingabemaske!$D$3,'Hilfstab Menus'!$B$2:$G$14,ROW(A10)-1,FALSE))&gt;0,HLOOKUP(Eingabemaske!$D$3,'Hilfstab Menus'!$B$2:$G$14,ROW(A10)-1,FALSE),"")</f>
        <v>#N/A</v>
      </c>
    </row>
    <row r="11" spans="1:7" ht="17" x14ac:dyDescent="0.2">
      <c r="A11" s="2" t="e">
        <f>IF(LEN(HLOOKUP(Eingabemaske!$D$3,'Hilfstab Menus'!$B$2:$G$14,ROW(A11)-1,FALSE))&gt;0,HLOOKUP(Eingabemaske!$D$3,'Hilfstab Menus'!$B$2:$G$14,ROW(A11)-1,FALSE),"")</f>
        <v>#N/A</v>
      </c>
    </row>
    <row r="12" spans="1:7" ht="17" x14ac:dyDescent="0.2">
      <c r="A12" s="2" t="e">
        <f>IF(LEN(HLOOKUP(Eingabemaske!$D$3,'Hilfstab Menus'!$B$2:$G$14,ROW(A12)-1,FALSE))&gt;0,HLOOKUP(Eingabemaske!$D$3,'Hilfstab Menus'!$B$2:$G$14,ROW(A12)-1,FALSE),"")</f>
        <v>#N/A</v>
      </c>
    </row>
    <row r="15" spans="1:7" s="11" customFormat="1" ht="34" x14ac:dyDescent="0.2">
      <c r="A15" s="11" t="s">
        <v>30</v>
      </c>
    </row>
    <row r="16" spans="1:7" s="3" customFormat="1" ht="34" x14ac:dyDescent="0.2">
      <c r="A16" s="3" t="s">
        <v>12</v>
      </c>
      <c r="B16" s="3" t="str">
        <f>B2</f>
        <v>Schnittholz</v>
      </c>
      <c r="C16" s="3" t="str">
        <f t="shared" ref="C16:E16" si="0">C2</f>
        <v>Weichfaser-, Spanplatten, Sperrholz</v>
      </c>
      <c r="D16" s="3" t="str">
        <f t="shared" si="0"/>
        <v>Lagenholz</v>
      </c>
      <c r="E16" s="3" t="str">
        <f t="shared" si="0"/>
        <v>Stückholz als Energieholz</v>
      </c>
      <c r="F16" s="3" t="str">
        <f>F2</f>
        <v>Holzschnitzel</v>
      </c>
    </row>
    <row r="17" spans="1:2" ht="34" x14ac:dyDescent="0.2">
      <c r="A17" s="2" t="e">
        <f>IF(LEN(HLOOKUP(Eingabemaske!$D$3,'Hilfstab Menus'!$B$16:$F$22,ROW(A3)-1,FALSE))&gt;0,HLOOKUP(Eingabemaske!$D$3,'Hilfstab Menus'!$B$16:$F$22,ROW(A3)-1,FALSE),"")</f>
        <v>#N/A</v>
      </c>
      <c r="B17" s="2" t="s">
        <v>234</v>
      </c>
    </row>
    <row r="18" spans="1:2" ht="51" x14ac:dyDescent="0.2">
      <c r="A18" s="2" t="e">
        <f>IF(LEN(HLOOKUP(Eingabemaske!$D$3,'Hilfstab Menus'!$B$16:$F$22,ROW(A4)-1,FALSE))&gt;0,HLOOKUP(Eingabemaske!$D$3,'Hilfstab Menus'!$B$16:$F$22,ROW(A4)-1,FALSE),"")</f>
        <v>#N/A</v>
      </c>
      <c r="B18" s="2" t="s">
        <v>235</v>
      </c>
    </row>
    <row r="19" spans="1:2" ht="51" x14ac:dyDescent="0.2">
      <c r="A19" s="2" t="e">
        <f>IF(LEN(HLOOKUP(Eingabemaske!$D$3,'Hilfstab Menus'!$B$16:$F$22,ROW(A5)-1,FALSE))&gt;0,HLOOKUP(Eingabemaske!$D$3,'Hilfstab Menus'!$B$16:$F$22,ROW(A5)-1,FALSE),"")</f>
        <v>#N/A</v>
      </c>
      <c r="B19" s="2" t="s">
        <v>236</v>
      </c>
    </row>
    <row r="20" spans="1:2" ht="51" x14ac:dyDescent="0.2">
      <c r="A20" s="2" t="e">
        <f>IF(LEN(HLOOKUP(Eingabemaske!$D$3,'Hilfstab Menus'!$B$16:$F$22,ROW(A6)-1,FALSE))&gt;0,HLOOKUP(Eingabemaske!$D$3,'Hilfstab Menus'!$B$16:$F$22,ROW(A6)-1,FALSE),"")</f>
        <v>#N/A</v>
      </c>
      <c r="B20" s="4" t="s">
        <v>237</v>
      </c>
    </row>
    <row r="21" spans="1:2" ht="34" x14ac:dyDescent="0.2">
      <c r="A21" s="2" t="e">
        <f>IF(LEN(HLOOKUP(Eingabemaske!$D$3,'Hilfstab Menus'!$B$16:$F$22,ROW(A7)-1,FALSE))&gt;0,HLOOKUP(Eingabemaske!$D$3,'Hilfstab Menus'!$B$16:$F$22,ROW(A7)-1,FALSE),"")</f>
        <v>#N/A</v>
      </c>
      <c r="B21" s="4" t="s">
        <v>238</v>
      </c>
    </row>
    <row r="22" spans="1:2" ht="17" x14ac:dyDescent="0.2">
      <c r="A22" s="2" t="e">
        <f>IF(LEN(HLOOKUP(Eingabemaske!$D$3,'Hilfstab Menus'!$B$16:$F$22,ROW(A8)-1,FALSE))&gt;0,HLOOKUP(Eingabemaske!$D$3,'Hilfstab Menus'!$B$16:$F$22,ROW(A8)-1,FALSE),"")</f>
        <v>#N/A</v>
      </c>
    </row>
  </sheetData>
  <pageMargins left="0.7" right="0.7" top="0.78740157499999996" bottom="0.78740157499999996"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EEE1C-F4F0-9C46-9921-45179913517D}">
  <dimension ref="A1:A8"/>
  <sheetViews>
    <sheetView zoomScaleNormal="100" workbookViewId="0">
      <selection activeCell="A2" sqref="A2"/>
    </sheetView>
  </sheetViews>
  <sheetFormatPr baseColWidth="10" defaultRowHeight="16" x14ac:dyDescent="0.2"/>
  <sheetData>
    <row r="1" spans="1:1" x14ac:dyDescent="0.2">
      <c r="A1" s="15" t="s">
        <v>233</v>
      </c>
    </row>
    <row r="2" spans="1:1" x14ac:dyDescent="0.2">
      <c r="A2" s="15" t="s">
        <v>260</v>
      </c>
    </row>
    <row r="3" spans="1:1" x14ac:dyDescent="0.2">
      <c r="A3" t="s">
        <v>248</v>
      </c>
    </row>
    <row r="4" spans="1:1" x14ac:dyDescent="0.2">
      <c r="A4" t="s">
        <v>232</v>
      </c>
    </row>
    <row r="5" spans="1:1" x14ac:dyDescent="0.2">
      <c r="A5" s="15" t="s">
        <v>292</v>
      </c>
    </row>
    <row r="6" spans="1:1" x14ac:dyDescent="0.2">
      <c r="A6" t="s">
        <v>293</v>
      </c>
    </row>
    <row r="7" spans="1:1" x14ac:dyDescent="0.2">
      <c r="A7" t="s">
        <v>294</v>
      </c>
    </row>
    <row r="8" spans="1:1" x14ac:dyDescent="0.2">
      <c r="A8" t="s">
        <v>295</v>
      </c>
    </row>
  </sheetData>
  <pageMargins left="0.7" right="0.7" top="0.78740157499999996" bottom="0.78740157499999996"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7F479-3396-634E-A976-09A9B339A0B7}">
  <sheetPr>
    <pageSetUpPr fitToPage="1"/>
  </sheetPr>
  <dimension ref="A1:Z100"/>
  <sheetViews>
    <sheetView showGridLines="0" zoomScaleNormal="100" workbookViewId="0">
      <selection activeCell="D3" sqref="D3:H3"/>
    </sheetView>
  </sheetViews>
  <sheetFormatPr baseColWidth="10" defaultRowHeight="16" x14ac:dyDescent="0.2"/>
  <cols>
    <col min="1" max="1" width="1.33203125" style="6" customWidth="1"/>
    <col min="2" max="2" width="1.33203125" style="1" customWidth="1"/>
    <col min="3" max="3" width="46.83203125" style="1" customWidth="1"/>
    <col min="4" max="5" width="20.83203125" style="1" customWidth="1"/>
    <col min="6" max="6" width="25.1640625" style="1" customWidth="1"/>
    <col min="7" max="8" width="20.83203125" style="1" customWidth="1"/>
    <col min="9" max="9" width="1.33203125" style="1" customWidth="1"/>
    <col min="10" max="26" width="10.83203125" style="6"/>
    <col min="27" max="16384" width="10.83203125" style="1"/>
  </cols>
  <sheetData>
    <row r="1" spans="2:9" s="6" customFormat="1" ht="65" customHeight="1" x14ac:dyDescent="0.2">
      <c r="G1" s="106" t="s">
        <v>313</v>
      </c>
      <c r="H1" s="107" t="str">
        <f>IF(ISTEXT($D$3),HLOOKUP($D$3,'Hilfstab Eingabemaske'!$A$1:$G$20,20,FALSE),"")</f>
        <v/>
      </c>
      <c r="I1" s="94"/>
    </row>
    <row r="2" spans="2:9" x14ac:dyDescent="0.2">
      <c r="B2" s="7"/>
      <c r="C2" s="7"/>
      <c r="D2" s="7"/>
      <c r="E2" s="7"/>
      <c r="F2" s="7"/>
      <c r="G2" s="7"/>
      <c r="H2" s="7"/>
      <c r="I2" s="7"/>
    </row>
    <row r="3" spans="2:9" x14ac:dyDescent="0.2">
      <c r="B3" s="7"/>
      <c r="C3" s="7" t="s">
        <v>100</v>
      </c>
      <c r="D3" s="124"/>
      <c r="E3" s="124"/>
      <c r="F3" s="124"/>
      <c r="G3" s="124"/>
      <c r="H3" s="124"/>
      <c r="I3" s="7"/>
    </row>
    <row r="4" spans="2:9" x14ac:dyDescent="0.2">
      <c r="B4" s="7"/>
      <c r="C4" s="14" t="str">
        <f>HLOOKUP('Auswertung Eingaben'!$B$24,'Auswertung Eingaben'!$C$20:$E$24,5,FALSE)</f>
        <v>Bitte eine Produktgruppe wählen</v>
      </c>
      <c r="D4" s="8"/>
      <c r="E4" s="8"/>
      <c r="F4" s="8"/>
      <c r="G4" s="8"/>
      <c r="H4" s="8"/>
      <c r="I4" s="7"/>
    </row>
    <row r="5" spans="2:9" x14ac:dyDescent="0.2">
      <c r="B5" s="7"/>
      <c r="C5" s="7" t="str">
        <f>IF(ISTEXT($D$3),IF(HLOOKUP($D$3,'Hilfstab Eingabemaske'!$A$1:$G$26,2,FALSE)="Ja","Holzprodukt",""),"")</f>
        <v/>
      </c>
      <c r="D5" s="124" t="s">
        <v>391</v>
      </c>
      <c r="E5" s="124"/>
      <c r="F5" s="124"/>
      <c r="G5" s="124"/>
      <c r="H5" s="124"/>
      <c r="I5" s="7"/>
    </row>
    <row r="6" spans="2:9" x14ac:dyDescent="0.2">
      <c r="B6" s="7"/>
      <c r="C6" s="14" t="str">
        <f>HLOOKUP('Auswertung Eingaben'!$B$21,'Auswertung Eingaben'!$C$20:$E$24,2,FALSE)</f>
        <v/>
      </c>
      <c r="D6" s="8"/>
      <c r="E6" s="8"/>
      <c r="F6" s="8"/>
      <c r="G6" s="8"/>
      <c r="H6" s="8"/>
      <c r="I6" s="7"/>
    </row>
    <row r="7" spans="2:9" x14ac:dyDescent="0.2">
      <c r="B7" s="7"/>
      <c r="C7" s="7" t="str">
        <f>IF(ISTEXT($D$3),IF(HLOOKUP($D$3,'Hilfstab Eingabemaske'!$A$1:$G$26,3,FALSE)="Ja","Trocknung / Oberfläche",""),"")</f>
        <v/>
      </c>
      <c r="D7" s="124" t="s">
        <v>391</v>
      </c>
      <c r="E7" s="124"/>
      <c r="F7" s="124"/>
      <c r="G7" s="124"/>
      <c r="H7" s="124"/>
      <c r="I7" s="7"/>
    </row>
    <row r="8" spans="2:9" x14ac:dyDescent="0.2">
      <c r="B8" s="7"/>
      <c r="C8" s="14" t="str">
        <f>HLOOKUP('Auswertung Eingaben'!$B$23,'Auswertung Eingaben'!$C$20:$E$24,4,FALSE)</f>
        <v/>
      </c>
      <c r="D8" s="8"/>
      <c r="E8" s="8"/>
      <c r="F8" s="8"/>
      <c r="G8" s="8"/>
      <c r="H8" s="8"/>
      <c r="I8" s="7"/>
    </row>
    <row r="9" spans="2:9" ht="69" customHeight="1" x14ac:dyDescent="0.2">
      <c r="B9" s="7"/>
      <c r="C9" s="29" t="str">
        <f>IF(ISTEXT($D$3),HLOOKUP($D$3,'Hilfstab Eingabemaske'!$A$1:$G$9,4,FALSE),"")</f>
        <v/>
      </c>
      <c r="D9" s="30" t="str">
        <f>IF(LEN($C$9)&gt;0,"Anteil im Produkt","")</f>
        <v/>
      </c>
      <c r="E9" s="29" t="str">
        <f>IF(ISTEXT($D$3),HLOOKUP($D$3,'Hilfstab Eingabemaske'!$A$1:$G$9,6,FALSE),"")</f>
        <v/>
      </c>
      <c r="F9" s="29" t="str">
        <f>IF(ISTEXT($D$3),HLOOKUP($D$3,'Hilfstab Eingabemaske'!$A$1:$G$9,7,FALSE),"")</f>
        <v/>
      </c>
      <c r="G9" s="29" t="str">
        <f>IF(ISTEXT($D$3),HLOOKUP($D$3,'Hilfstab Eingabemaske'!$A$1:$G$9,8,FALSE),"")</f>
        <v/>
      </c>
      <c r="H9" s="29" t="str">
        <f>IF(ISTEXT($D$3),HLOOKUP($D$3,'Hilfstab Eingabemaske'!$A$1:$G$9,9,FALSE),"")</f>
        <v/>
      </c>
      <c r="I9" s="7"/>
    </row>
    <row r="10" spans="2:9" x14ac:dyDescent="0.2">
      <c r="B10" s="7"/>
      <c r="C10" s="21" t="str">
        <f>IF(ISTEXT($D$3),IF(LEN($C$9)&gt;0,Transportdaten!A3,"Europäischer Durchschnitt für Holz und Transporte"),"")</f>
        <v/>
      </c>
      <c r="D10" s="80"/>
      <c r="E10" s="21" t="str">
        <f>IF(LEN($C$9)&gt;0,VLOOKUP($C10,'Auswertung Eingaben'!$A$10:$C$18,3,FALSE),"")</f>
        <v/>
      </c>
      <c r="F10" s="84"/>
      <c r="G10" s="22" t="str">
        <f>IF(LEN($C$9)&gt;0,VLOOKUP($C10,Transportdaten!$A$3:$L$11,11,FALSE),"")</f>
        <v/>
      </c>
      <c r="H10" s="89"/>
      <c r="I10" s="7"/>
    </row>
    <row r="11" spans="2:9" x14ac:dyDescent="0.2">
      <c r="B11" s="7"/>
      <c r="C11" s="21" t="str">
        <f>IF(LEN($C$9)&gt;0,Transportdaten!A4,"")</f>
        <v/>
      </c>
      <c r="D11" s="81"/>
      <c r="E11" s="21" t="str">
        <f>IF(LEN($C$9)&gt;0,VLOOKUP($C11,'Auswertung Eingaben'!$A$10:$C$18,3,FALSE),"")</f>
        <v/>
      </c>
      <c r="F11" s="85"/>
      <c r="G11" s="22" t="str">
        <f>IF(LEN($C$9)&gt;0,VLOOKUP($C11,Transportdaten!$A$3:$L$11,11,FALSE),"")</f>
        <v/>
      </c>
      <c r="H11" s="88"/>
      <c r="I11" s="7"/>
    </row>
    <row r="12" spans="2:9" x14ac:dyDescent="0.2">
      <c r="B12" s="7"/>
      <c r="C12" s="21" t="str">
        <f>IF(LEN($C$9)&gt;0,Transportdaten!A5,"")</f>
        <v/>
      </c>
      <c r="D12" s="81"/>
      <c r="E12" s="21" t="str">
        <f>IF(LEN($C$9)&gt;0,VLOOKUP($C12,'Auswertung Eingaben'!$A$10:$C$18,3,FALSE),"")</f>
        <v/>
      </c>
      <c r="F12" s="85"/>
      <c r="G12" s="22" t="str">
        <f>IF(LEN($C$9)&gt;0,VLOOKUP($C12,Transportdaten!$A$3:$L$11,11,FALSE),"")</f>
        <v/>
      </c>
      <c r="H12" s="88"/>
      <c r="I12" s="7"/>
    </row>
    <row r="13" spans="2:9" x14ac:dyDescent="0.2">
      <c r="B13" s="7"/>
      <c r="C13" s="21" t="str">
        <f>IF(LEN($C$9)&gt;0,Transportdaten!A6,"")</f>
        <v/>
      </c>
      <c r="D13" s="81"/>
      <c r="E13" s="21" t="str">
        <f>IF(LEN($C$9)&gt;0,VLOOKUP($C13,'Auswertung Eingaben'!$A$10:$C$18,3,FALSE),"")</f>
        <v/>
      </c>
      <c r="F13" s="85"/>
      <c r="G13" s="22" t="str">
        <f>IF(LEN($C$9)&gt;0,VLOOKUP($C13,Transportdaten!$A$3:$L$11,11,FALSE),"")</f>
        <v/>
      </c>
      <c r="H13" s="88"/>
      <c r="I13" s="7"/>
    </row>
    <row r="14" spans="2:9" x14ac:dyDescent="0.2">
      <c r="B14" s="7"/>
      <c r="C14" s="21" t="str">
        <f>IF(LEN($C$9)&gt;0,Transportdaten!A7,"")</f>
        <v/>
      </c>
      <c r="D14" s="82"/>
      <c r="E14" s="21" t="str">
        <f>IF(LEN($C$9)&gt;0,VLOOKUP($C14,'Auswertung Eingaben'!$A$10:$C$18,3,FALSE),"")</f>
        <v/>
      </c>
      <c r="F14" s="85"/>
      <c r="G14" s="22" t="str">
        <f>IF(LEN($C$9)&gt;0,VLOOKUP($C14,Transportdaten!$A$3:$L$11,11,FALSE),"")</f>
        <v/>
      </c>
      <c r="H14" s="88"/>
      <c r="I14" s="7"/>
    </row>
    <row r="15" spans="2:9" x14ac:dyDescent="0.2">
      <c r="B15" s="7"/>
      <c r="C15" s="21" t="str">
        <f>IF(LEN($C$9)&gt;0,Transportdaten!A8,"")</f>
        <v/>
      </c>
      <c r="D15" s="115"/>
      <c r="E15" s="21" t="str">
        <f>IF(LEN($C$9)&gt;0,VLOOKUP($C15,'Auswertung Eingaben'!$A$10:$C$18,3,FALSE),"")</f>
        <v/>
      </c>
      <c r="F15" s="85"/>
      <c r="G15" s="22" t="str">
        <f>IF(LEN($C$9)&gt;0,VLOOKUP($C15,Transportdaten!$A$3:$L$11,11,FALSE),"")</f>
        <v/>
      </c>
      <c r="H15" s="88"/>
      <c r="I15" s="7"/>
    </row>
    <row r="16" spans="2:9" x14ac:dyDescent="0.2">
      <c r="B16" s="7"/>
      <c r="C16" s="21" t="str">
        <f>IF(LEN($C$9)&gt;0,Transportdaten!A9,"")</f>
        <v/>
      </c>
      <c r="D16" s="81"/>
      <c r="E16" s="21" t="str">
        <f>IF(LEN($C$9)&gt;0,VLOOKUP($C16,'Auswertung Eingaben'!$A$10:$C$18,3,FALSE),"")</f>
        <v/>
      </c>
      <c r="F16" s="85"/>
      <c r="G16" s="22" t="str">
        <f>IF(LEN($C$9)&gt;0,VLOOKUP($C16,Transportdaten!$A$3:$L$11,11,FALSE),"")</f>
        <v/>
      </c>
      <c r="H16" s="88"/>
      <c r="I16" s="7"/>
    </row>
    <row r="17" spans="2:9" x14ac:dyDescent="0.2">
      <c r="B17" s="7"/>
      <c r="C17" s="108" t="str">
        <f>IF(LEN($C$9)&gt;0,Transportdaten!A10,"")</f>
        <v/>
      </c>
      <c r="D17" s="116"/>
      <c r="E17" s="21" t="str">
        <f>IF(LEN($C$9)&gt;0,VLOOKUP($C17,'Auswertung Eingaben'!$A$10:$C$18,3,FALSE),"")</f>
        <v/>
      </c>
      <c r="F17" s="85"/>
      <c r="G17" s="22" t="str">
        <f>IF(LEN($C$9)&gt;0,VLOOKUP($C17,Transportdaten!$A$3:$L$11,11,FALSE),"")</f>
        <v/>
      </c>
      <c r="H17" s="88"/>
      <c r="I17" s="7"/>
    </row>
    <row r="18" spans="2:9" x14ac:dyDescent="0.2">
      <c r="B18" s="7"/>
      <c r="C18" s="21" t="str">
        <f>IF(LEN($C$9)&gt;0,Transportdaten!A11,"")</f>
        <v/>
      </c>
      <c r="D18" s="83"/>
      <c r="E18" s="21" t="str">
        <f>IF(LEN($C$9)&gt;0,VLOOKUP($C18,'Auswertung Eingaben'!$A$10:$C$18,3,FALSE),"")</f>
        <v/>
      </c>
      <c r="F18" s="86"/>
      <c r="G18" s="22" t="str">
        <f>IF(LEN($C$9)&gt;0,VLOOKUP($C18,Transportdaten!$A$3:$L$11,11,FALSE),"")</f>
        <v/>
      </c>
      <c r="H18" s="87"/>
      <c r="I18" s="7"/>
    </row>
    <row r="19" spans="2:9" x14ac:dyDescent="0.2">
      <c r="B19" s="7"/>
      <c r="C19" s="23" t="str">
        <f>IF(LEN($C$9)&gt;0,"Total","")</f>
        <v/>
      </c>
      <c r="D19" s="24" t="str">
        <f>IF(LEN($C$9)&gt;0,SUM(D10:D18),"")</f>
        <v/>
      </c>
      <c r="E19" s="28" t="s">
        <v>126</v>
      </c>
      <c r="F19" s="23" t="str">
        <f>IF(LEN($C$9)&gt;0,ROUND('Auswertung Eingaben'!$E$4,0),"")</f>
        <v/>
      </c>
      <c r="G19" s="25"/>
      <c r="H19" s="23"/>
      <c r="I19" s="7"/>
    </row>
    <row r="20" spans="2:9" x14ac:dyDescent="0.2">
      <c r="B20" s="7"/>
      <c r="C20" s="14" t="str">
        <f>IF(LEN($C$9)&gt;0,IF('Auswertung Eingaben'!$B$22,'Auswertung Eingaben'!$D$22,""),"")</f>
        <v/>
      </c>
      <c r="D20" s="7"/>
      <c r="E20" s="7"/>
      <c r="F20" s="7"/>
      <c r="G20" s="7"/>
      <c r="H20" s="7"/>
      <c r="I20" s="7"/>
    </row>
    <row r="21" spans="2:9" ht="85" customHeight="1" x14ac:dyDescent="0.2">
      <c r="B21" s="94"/>
      <c r="C21" s="91" t="str">
        <f>IF(ISTEXT($D$3),HLOOKUP($D$3,'Hilfstab Eingabemaske'!$A$1:$G$10,10,FALSE),"")</f>
        <v/>
      </c>
      <c r="D21" s="92"/>
      <c r="E21" s="93" t="str">
        <f>IF(ISTEXT($D$3),HLOOKUP($D$3,'Hilfstab Eingabemaske'!$A$1:$G$14,11,FALSE),"")</f>
        <v/>
      </c>
      <c r="F21" s="93" t="str">
        <f>IF(ISTEXT($D$3),HLOOKUP($D$3,'Hilfstab Eingabemaske'!$A$1:$G$14,12,FALSE),"")</f>
        <v/>
      </c>
      <c r="G21" s="93" t="str">
        <f>IF(ISTEXT($D$3),HLOOKUP($D$3,'Hilfstab Eingabemaske'!$A$1:$G$14,13,FALSE),"")</f>
        <v/>
      </c>
      <c r="H21" s="93" t="str">
        <f>IF(ISTEXT($D$3),HLOOKUP($D$3,'Hilfstab Eingabemaske'!$A$1:$G$14,14,FALSE),"")</f>
        <v/>
      </c>
      <c r="I21" s="94"/>
    </row>
    <row r="22" spans="2:9" x14ac:dyDescent="0.2">
      <c r="B22" s="94"/>
      <c r="C22" s="123" t="s">
        <v>20</v>
      </c>
      <c r="D22" s="123"/>
      <c r="E22" s="94" t="str">
        <f>IF(IF(LEN($C$21)&gt;0,VLOOKUP($C22,Transportdaten!$A$2:$J$11,MATCH(Eingabemaske!$C$24,Transportdaten!$A$2:$J$2,FALSE),FALSE),"")=Transportdaten!$G$1,Transportdaten!$I$1,IF(LEN($C$21)&gt;0,VLOOKUP($C22,Transportdaten!$A$2:$J$11,MATCH(Eingabemaske!$C$24,Transportdaten!$A$2:$J$2,FALSE),FALSE),""))</f>
        <v/>
      </c>
      <c r="F22" s="96"/>
      <c r="G22" s="95" t="str">
        <f>IF(LEN($C$21)&gt;0,VLOOKUP($C22,Transportdaten!$A$3:$M$11,12,FALSE),"")</f>
        <v/>
      </c>
      <c r="H22" s="97"/>
      <c r="I22" s="94"/>
    </row>
    <row r="23" spans="2:9" ht="25" customHeight="1" x14ac:dyDescent="0.2">
      <c r="B23" s="7"/>
      <c r="C23" s="90" t="str">
        <f>IF(ISTEXT($D$3),HLOOKUP($D$3,'Hilfstab Eingabemaske'!$A$1:$G$15,ROW('Hilfstab Eingabemaske'!A15),FALSE),"")</f>
        <v/>
      </c>
      <c r="D23" s="8"/>
      <c r="E23" s="8"/>
      <c r="F23" s="8"/>
      <c r="G23" s="8"/>
      <c r="H23" s="8"/>
      <c r="I23" s="7"/>
    </row>
    <row r="24" spans="2:9" x14ac:dyDescent="0.2">
      <c r="B24" s="7"/>
      <c r="C24" s="123" t="s">
        <v>20</v>
      </c>
      <c r="D24" s="123"/>
      <c r="E24" s="8"/>
      <c r="F24" s="8"/>
      <c r="G24" s="8"/>
      <c r="H24" s="8"/>
      <c r="I24" s="7"/>
    </row>
    <row r="25" spans="2:9" x14ac:dyDescent="0.2">
      <c r="B25" s="7"/>
      <c r="C25" s="7"/>
      <c r="D25" s="7"/>
      <c r="E25" s="7"/>
      <c r="F25" s="7"/>
      <c r="G25" s="7"/>
      <c r="H25" s="7"/>
      <c r="I25" s="7"/>
    </row>
    <row r="26" spans="2:9" x14ac:dyDescent="0.2">
      <c r="B26" s="6"/>
      <c r="C26" s="6"/>
      <c r="D26" s="6"/>
      <c r="E26" s="6"/>
      <c r="F26" s="6"/>
      <c r="G26" s="6"/>
      <c r="H26" s="6"/>
      <c r="I26" s="6"/>
    </row>
    <row r="27" spans="2:9" x14ac:dyDescent="0.2">
      <c r="B27" s="9"/>
      <c r="C27" s="62" t="str">
        <f>CONCATENATE(IF(LEN(C4)&gt;0," - ",""),C4,IF(LEN(C6)&gt;0," - ",""),C6,IF(LEN(C8)&gt;0," - ",""),C8,IF(LEN(C20)&gt;0," - ",""),C20)</f>
        <v xml:space="preserve"> - Bitte eine Produktgruppe wählen</v>
      </c>
      <c r="D27" s="9"/>
      <c r="E27" s="9"/>
      <c r="F27" s="9"/>
      <c r="G27" s="9"/>
      <c r="H27" s="9"/>
      <c r="I27" s="9"/>
    </row>
    <row r="28" spans="2:9" ht="33" customHeight="1" x14ac:dyDescent="0.2">
      <c r="B28" s="9"/>
      <c r="C28" s="38" t="s">
        <v>39</v>
      </c>
      <c r="D28" s="9"/>
      <c r="E28" s="41" t="e">
        <f>HLOOKUP($D$3,'Hilfstab Eingabemaske'!$A$1:$G$18,ROW('Hilfstab Eingabemaske'!$A$18),FALSE)</f>
        <v>#N/A</v>
      </c>
      <c r="F28" s="41" t="e">
        <f>HLOOKUP($D$3,'Hilfstab Eingabemaske'!$A$1:$G$16,ROW('Hilfstab Eingabemaske'!$A$16),FALSE)</f>
        <v>#N/A</v>
      </c>
      <c r="G28" s="41" t="s">
        <v>22</v>
      </c>
      <c r="H28" s="42" t="s">
        <v>47</v>
      </c>
      <c r="I28" s="9"/>
    </row>
    <row r="29" spans="2:9" x14ac:dyDescent="0.2">
      <c r="B29" s="9"/>
      <c r="C29" s="39" t="s">
        <v>46</v>
      </c>
      <c r="D29" s="47"/>
      <c r="E29" s="43">
        <f>ROUND('Ergebnisse Ökobilanz'!B$8,IF('Ergebnisse Ökobilanz'!B$8&gt;1,-ROUNDUP(LOG(ABS('Ergebnisse Ökobilanz'!B$8)),0)+4,IF('Ergebnisse Ökobilanz'!B$8&gt;0,-ROUNDUP(LOG(ABS('Ergebnisse Ökobilanz'!B$8)),0)+3,4)))</f>
        <v>0</v>
      </c>
      <c r="F29" s="43">
        <f>ROUND('Ergebnisse Ökobilanz'!E$8,IF('Ergebnisse Ökobilanz'!E$8&gt;1,-ROUNDUP(LOG(ABS('Ergebnisse Ökobilanz'!E$8)),0)+4,IF('Ergebnisse Ökobilanz'!E$8&gt;0,-ROUNDUP(LOG(ABS('Ergebnisse Ökobilanz'!E$8)),0)+3,4)))</f>
        <v>0</v>
      </c>
      <c r="G29" s="43">
        <f>ROUND('Ergebnisse Ökobilanz'!F$8,IF('Ergebnisse Ökobilanz'!F$8&gt;1,-ROUNDUP(LOG(ABS('Ergebnisse Ökobilanz'!F$8)),0)+4,IF('Ergebnisse Ökobilanz'!F$8&gt;0,-ROUNDUP(LOG(ABS('Ergebnisse Ökobilanz'!F$8)),0)+3,4)))</f>
        <v>0</v>
      </c>
      <c r="H29" s="44" t="s">
        <v>320</v>
      </c>
      <c r="I29" s="9"/>
    </row>
    <row r="30" spans="2:9" x14ac:dyDescent="0.2">
      <c r="B30" s="9"/>
      <c r="C30" s="39" t="s">
        <v>42</v>
      </c>
      <c r="D30" s="47"/>
      <c r="E30" s="43" t="e">
        <f>ROUND('Ergebnisse Ökobilanz'!B$11,IF('Ergebnisse Ökobilanz'!B$11&gt;1,-ROUNDUP(LOG(ABS('Ergebnisse Ökobilanz'!B$11)),0)+4,IF('Ergebnisse Ökobilanz'!B$11&gt;0,-ROUNDUP(LOG(ABS('Ergebnisse Ökobilanz'!B$11)),0)+3,4)))</f>
        <v>#N/A</v>
      </c>
      <c r="F30" s="43">
        <f>ROUND('Ergebnisse Ökobilanz'!E$11,IF('Ergebnisse Ökobilanz'!E$11&gt;1,-ROUNDUP(LOG(ABS('Ergebnisse Ökobilanz'!E$11)),0)+4,IF('Ergebnisse Ökobilanz'!E$11&gt;0,-ROUNDUP(LOG(ABS('Ergebnisse Ökobilanz'!E$11)),0)+3,4)))</f>
        <v>0</v>
      </c>
      <c r="G30" s="43" t="e">
        <f>ROUND('Ergebnisse Ökobilanz'!F$11,IF('Ergebnisse Ökobilanz'!F$11&gt;1,-ROUNDUP(LOG(ABS('Ergebnisse Ökobilanz'!F$11)),0)+4,IF('Ergebnisse Ökobilanz'!F$11&gt;0,-ROUNDUP(LOG(ABS('Ergebnisse Ökobilanz'!F$11)),0)+3,4)))</f>
        <v>#N/A</v>
      </c>
      <c r="H30" s="44" t="s">
        <v>321</v>
      </c>
      <c r="I30" s="9"/>
    </row>
    <row r="31" spans="2:9" x14ac:dyDescent="0.2">
      <c r="B31" s="9"/>
      <c r="C31" s="99" t="s">
        <v>43</v>
      </c>
      <c r="D31" s="100"/>
      <c r="E31" s="101">
        <f>ROUND('Ergebnisse Ökobilanz'!B$5/3.6,IF('Ergebnisse Ökobilanz'!B$5/3.6&gt;1,-ROUNDUP(LOG(ABS('Ergebnisse Ökobilanz'!B$5/3.6)),0)+4,IF('Ergebnisse Ökobilanz'!B$5/3.6&gt;0,-ROUNDUP(LOG(ABS('Ergebnisse Ökobilanz'!B$5/3.6)),0)+3,4)))</f>
        <v>0</v>
      </c>
      <c r="F31" s="101">
        <f>ROUND('Ergebnisse Ökobilanz'!E$5/3.6,IF('Ergebnisse Ökobilanz'!E$5/3.6&gt;1,-ROUNDUP(LOG(ABS('Ergebnisse Ökobilanz'!E$5/3.6)),0)+4,IF('Ergebnisse Ökobilanz'!E$5/3.6&gt;0,-ROUNDUP(LOG(ABS('Ergebnisse Ökobilanz'!E$5/3.6)),0)+3,4)))</f>
        <v>0</v>
      </c>
      <c r="G31" s="101">
        <f>ROUND('Ergebnisse Ökobilanz'!F$5/3.6,IF('Ergebnisse Ökobilanz'!F$5/3.6&gt;1,-ROUNDUP(LOG(ABS('Ergebnisse Ökobilanz'!F$5/3.6)),0)+4,IF('Ergebnisse Ökobilanz'!F$5/3.6&gt;0,-ROUNDUP(LOG(ABS('Ergebnisse Ökobilanz'!F$5/3.6)),0)+3,4)))</f>
        <v>0</v>
      </c>
      <c r="H31" s="102" t="s">
        <v>322</v>
      </c>
      <c r="I31" s="9"/>
    </row>
    <row r="32" spans="2:9" x14ac:dyDescent="0.2">
      <c r="B32" s="9"/>
      <c r="C32" s="39" t="s">
        <v>44</v>
      </c>
      <c r="D32" s="47"/>
      <c r="E32" s="43">
        <f>ROUND('Ergebnisse Ökobilanz'!B$4/3.6,IF('Ergebnisse Ökobilanz'!B$4/3.6&gt;1,-ROUNDUP(LOG(ABS('Ergebnisse Ökobilanz'!B$4/3.6)),0)+4,IF('Ergebnisse Ökobilanz'!B$4/3.6&gt;0,-ROUNDUP(LOG(ABS('Ergebnisse Ökobilanz'!B$4/3.6)),0)+3,4)))</f>
        <v>0</v>
      </c>
      <c r="F32" s="43">
        <f>ROUND('Ergebnisse Ökobilanz'!E$4/3.6,IF('Ergebnisse Ökobilanz'!E$4/3.6&gt;1,-ROUNDUP(LOG(ABS('Ergebnisse Ökobilanz'!E$4/3.6)),0)+4,IF('Ergebnisse Ökobilanz'!E$4/3.6&gt;0,-ROUNDUP(LOG(ABS('Ergebnisse Ökobilanz'!E$4/3.6)),0)+3,4)))</f>
        <v>0</v>
      </c>
      <c r="G32" s="43">
        <f>ROUND('Ergebnisse Ökobilanz'!F$4/3.6,IF('Ergebnisse Ökobilanz'!F$4/3.6&gt;1,-ROUNDUP(LOG(ABS('Ergebnisse Ökobilanz'!F$4/3.6)),0)+4,IF('Ergebnisse Ökobilanz'!F$4/3.6&gt;0,-ROUNDUP(LOG(ABS('Ergebnisse Ökobilanz'!F$4/3.6)),0)+3,4)))</f>
        <v>0</v>
      </c>
      <c r="H32" s="44" t="s">
        <v>322</v>
      </c>
      <c r="I32" s="9"/>
    </row>
    <row r="33" spans="2:9" x14ac:dyDescent="0.2">
      <c r="B33" s="9"/>
      <c r="C33" s="40" t="s">
        <v>45</v>
      </c>
      <c r="D33" s="68"/>
      <c r="E33" s="45" t="e">
        <f>ROUND('Ergebnisse Ökobilanz'!B$2/3.6,IF('Ergebnisse Ökobilanz'!B$2/3.6&gt;1,-ROUNDUP(LOG(ABS('Ergebnisse Ökobilanz'!B$2/3.6)),0)+4,IF('Ergebnisse Ökobilanz'!B$2/3.6&gt;0,-ROUNDUP(LOG(ABS('Ergebnisse Ökobilanz'!B$2/3.6)),0)+3,4)))</f>
        <v>#N/A</v>
      </c>
      <c r="F33" s="45">
        <f>ROUND('Ergebnisse Ökobilanz'!E$2/3.6,IF('Ergebnisse Ökobilanz'!E$2/3.6&gt;1,-ROUNDUP(LOG(ABS('Ergebnisse Ökobilanz'!E$2/3.6)),0)+4,IF('Ergebnisse Ökobilanz'!E$2/3.6&gt;0,-ROUNDUP(LOG(ABS('Ergebnisse Ökobilanz'!E$2/3.6)),0)+3,4)))</f>
        <v>0</v>
      </c>
      <c r="G33" s="45" t="e">
        <f>ROUND('Ergebnisse Ökobilanz'!F$2/3.6,IF('Ergebnisse Ökobilanz'!F$2/3.6&gt;1,-ROUNDUP(LOG(ABS('Ergebnisse Ökobilanz'!F$2/3.6)),0)+4,IF('Ergebnisse Ökobilanz'!F$2/3.6&gt;0,-ROUNDUP(LOG(ABS('Ergebnisse Ökobilanz'!F$2/3.6)),0)+3,4)))</f>
        <v>#N/A</v>
      </c>
      <c r="H33" s="46" t="s">
        <v>322</v>
      </c>
      <c r="I33" s="9"/>
    </row>
    <row r="34" spans="2:9" x14ac:dyDescent="0.2">
      <c r="B34" s="9"/>
      <c r="C34" s="63"/>
      <c r="D34" s="49"/>
      <c r="E34" s="69" t="e">
        <f>HLOOKUP($D$3,'Hilfstab Eingabemaske'!$A$1:$G$19,ROW('Hilfstab Eingabemaske'!$A$19),FALSE)</f>
        <v>#N/A</v>
      </c>
      <c r="F34" s="9"/>
      <c r="G34" s="9"/>
      <c r="H34" s="9"/>
      <c r="I34" s="9"/>
    </row>
    <row r="35" spans="2:9" x14ac:dyDescent="0.2">
      <c r="B35" s="9"/>
      <c r="C35" s="99" t="s">
        <v>106</v>
      </c>
      <c r="D35" s="100"/>
      <c r="E35" s="103" t="e">
        <f>ROUND('Ergebnisse Ökobilanz'!B$15,IF('Ergebnisse Ökobilanz'!B$15&gt;1,-ROUNDUP(LOG(ABS('Ergebnisse Ökobilanz'!B$15)),0)+4,IF('Ergebnisse Ökobilanz'!B$15&gt;0,-ROUNDUP(LOG(ABS('Ergebnisse Ökobilanz'!B$15)),0)+3,4)))</f>
        <v>#N/A</v>
      </c>
      <c r="F35" s="103">
        <f>ROUND('Ergebnisse Ökobilanz'!E$15,IF('Ergebnisse Ökobilanz'!E$15&gt;1,-ROUNDUP(LOG(ABS('Ergebnisse Ökobilanz'!E$15)),0)+4,IF('Ergebnisse Ökobilanz'!E$15&gt;0,-ROUNDUP(LOG(ABS('Ergebnisse Ökobilanz'!E$15)),0)+3,4)))</f>
        <v>0</v>
      </c>
      <c r="G35" s="103" t="e">
        <f>ROUND('Ergebnisse Ökobilanz'!F$15,IF('Ergebnisse Ökobilanz'!F$15&gt;1,-ROUNDUP(LOG(ABS('Ergebnisse Ökobilanz'!F$15)),0)+4,IF('Ergebnisse Ökobilanz'!F$15&gt;0,-ROUNDUP(LOG(ABS('Ergebnisse Ökobilanz'!F$15)),0)+3,4)))</f>
        <v>#N/A</v>
      </c>
      <c r="H35" s="102" t="s">
        <v>323</v>
      </c>
      <c r="I35" s="9"/>
    </row>
    <row r="36" spans="2:9" x14ac:dyDescent="0.2">
      <c r="B36" s="9"/>
      <c r="C36" s="9"/>
      <c r="D36" s="9"/>
      <c r="E36" s="9"/>
      <c r="F36" s="9"/>
      <c r="G36" s="9"/>
      <c r="H36" s="9"/>
      <c r="I36" s="9"/>
    </row>
    <row r="37" spans="2:9" x14ac:dyDescent="0.2">
      <c r="B37" s="9"/>
      <c r="C37" s="104" t="s">
        <v>324</v>
      </c>
      <c r="D37" s="43" t="e">
        <f>ROUND(1/VLOOKUP('Auswertung Eingaben'!$B$2,'Faktoren Prozessketten'!$E$4:$G$106,MATCH('Faktoren Prozessketten'!$G$2,'Faktoren Prozessketten'!E2:G2,0),FALSE),3)</f>
        <v>#N/A</v>
      </c>
      <c r="E37" s="9"/>
      <c r="F37" s="49"/>
      <c r="G37" s="105" t="e">
        <f>HLOOKUP($D$3,'Hilfstab Eingabemaske'!$A$1:$G$21,21,FALSE)</f>
        <v>#N/A</v>
      </c>
      <c r="H37" s="49" t="e">
        <f>HLOOKUP($D$3,'Hilfstab Eingabemaske'!$A$1:$G$22,22,FALSE)</f>
        <v>#N/A</v>
      </c>
      <c r="I37" s="9"/>
    </row>
    <row r="38" spans="2:9" s="6" customFormat="1" x14ac:dyDescent="0.2">
      <c r="B38" s="9"/>
      <c r="C38" s="104" t="s">
        <v>245</v>
      </c>
      <c r="D38" s="44" t="e">
        <f>VLOOKUP('Auswertung Eingaben'!$B$2,'Faktoren Prozessketten'!$E$2:$H$502,MATCH('Faktoren Prozessketten'!$H$2,'Faktoren Prozessketten'!$E$2:$H$2,0),FALSE)</f>
        <v>#N/A</v>
      </c>
      <c r="E38" s="39"/>
      <c r="F38" s="39"/>
      <c r="G38" s="39"/>
      <c r="H38" s="47"/>
      <c r="I38" s="9"/>
    </row>
    <row r="39" spans="2:9" s="6" customFormat="1" x14ac:dyDescent="0.2">
      <c r="B39" s="9"/>
      <c r="C39" s="9"/>
      <c r="D39" s="9"/>
      <c r="E39" s="9"/>
      <c r="F39" s="9"/>
      <c r="G39" s="9"/>
      <c r="H39" s="9"/>
      <c r="I39" s="9"/>
    </row>
    <row r="40" spans="2:9" s="6" customFormat="1" x14ac:dyDescent="0.2"/>
    <row r="41" spans="2:9" s="6" customFormat="1" x14ac:dyDescent="0.2"/>
    <row r="42" spans="2:9" s="6" customFormat="1" x14ac:dyDescent="0.2"/>
    <row r="43" spans="2:9" s="6" customFormat="1" x14ac:dyDescent="0.2"/>
    <row r="44" spans="2:9" s="6" customFormat="1" x14ac:dyDescent="0.2"/>
    <row r="45" spans="2:9" s="6" customFormat="1" x14ac:dyDescent="0.2"/>
    <row r="46" spans="2:9" s="6" customFormat="1" x14ac:dyDescent="0.2"/>
    <row r="47" spans="2:9" s="6" customFormat="1" x14ac:dyDescent="0.2"/>
    <row r="48" spans="2:9" s="6" customFormat="1" x14ac:dyDescent="0.2"/>
    <row r="49" s="6" customFormat="1" x14ac:dyDescent="0.2"/>
    <row r="50" s="6" customFormat="1" x14ac:dyDescent="0.2"/>
    <row r="51" s="6" customFormat="1" x14ac:dyDescent="0.2"/>
    <row r="52" s="6" customFormat="1" x14ac:dyDescent="0.2"/>
    <row r="53" s="6" customFormat="1" x14ac:dyDescent="0.2"/>
    <row r="54" s="6" customFormat="1" x14ac:dyDescent="0.2"/>
    <row r="55" s="6" customFormat="1" x14ac:dyDescent="0.2"/>
    <row r="56" s="6" customFormat="1" x14ac:dyDescent="0.2"/>
    <row r="57" s="6" customFormat="1" x14ac:dyDescent="0.2"/>
    <row r="58" s="6" customFormat="1" x14ac:dyDescent="0.2"/>
    <row r="59" s="6" customFormat="1" x14ac:dyDescent="0.2"/>
    <row r="60" s="6" customFormat="1" x14ac:dyDescent="0.2"/>
    <row r="61" s="6" customFormat="1" x14ac:dyDescent="0.2"/>
    <row r="62" s="6" customFormat="1" x14ac:dyDescent="0.2"/>
    <row r="63" s="6" customFormat="1" x14ac:dyDescent="0.2"/>
    <row r="64" s="6" customFormat="1" x14ac:dyDescent="0.2"/>
    <row r="65" s="6" customFormat="1" x14ac:dyDescent="0.2"/>
    <row r="66" s="6" customFormat="1" x14ac:dyDescent="0.2"/>
    <row r="67" s="6" customFormat="1" x14ac:dyDescent="0.2"/>
    <row r="68" s="6" customFormat="1" x14ac:dyDescent="0.2"/>
    <row r="69" s="6" customFormat="1" x14ac:dyDescent="0.2"/>
    <row r="70" s="6" customFormat="1" x14ac:dyDescent="0.2"/>
    <row r="71" s="6" customFormat="1" x14ac:dyDescent="0.2"/>
    <row r="72" s="6" customFormat="1" x14ac:dyDescent="0.2"/>
    <row r="73" s="6" customFormat="1" x14ac:dyDescent="0.2"/>
    <row r="74" s="6" customFormat="1" x14ac:dyDescent="0.2"/>
    <row r="75" s="6" customFormat="1" x14ac:dyDescent="0.2"/>
    <row r="76" s="6" customFormat="1" x14ac:dyDescent="0.2"/>
    <row r="77" s="6" customFormat="1" x14ac:dyDescent="0.2"/>
    <row r="78" s="6" customFormat="1" x14ac:dyDescent="0.2"/>
    <row r="79" s="6" customFormat="1" x14ac:dyDescent="0.2"/>
    <row r="80" s="6" customFormat="1" x14ac:dyDescent="0.2"/>
    <row r="81" spans="2:9" s="6" customFormat="1" x14ac:dyDescent="0.2"/>
    <row r="82" spans="2:9" s="6" customFormat="1" x14ac:dyDescent="0.2"/>
    <row r="83" spans="2:9" s="6" customFormat="1" x14ac:dyDescent="0.2"/>
    <row r="84" spans="2:9" x14ac:dyDescent="0.2">
      <c r="B84" s="6"/>
      <c r="C84" s="6"/>
      <c r="D84" s="6"/>
      <c r="E84" s="6"/>
      <c r="F84" s="6"/>
      <c r="G84" s="6"/>
      <c r="H84" s="6"/>
      <c r="I84" s="6"/>
    </row>
    <row r="85" spans="2:9" x14ac:dyDescent="0.2">
      <c r="B85" s="6"/>
      <c r="C85" s="6"/>
      <c r="D85" s="6"/>
      <c r="E85" s="6"/>
      <c r="F85" s="6"/>
      <c r="G85" s="6"/>
      <c r="H85" s="6"/>
      <c r="I85" s="6"/>
    </row>
    <row r="86" spans="2:9" x14ac:dyDescent="0.2">
      <c r="B86" s="6"/>
      <c r="C86" s="6"/>
      <c r="D86" s="6"/>
      <c r="E86" s="6"/>
      <c r="F86" s="6"/>
      <c r="G86" s="6"/>
      <c r="H86" s="6"/>
      <c r="I86" s="6"/>
    </row>
    <row r="87" spans="2:9" x14ac:dyDescent="0.2">
      <c r="B87" s="6"/>
      <c r="C87" s="6"/>
      <c r="D87" s="6"/>
      <c r="E87" s="6"/>
      <c r="F87" s="6"/>
      <c r="G87" s="6"/>
      <c r="H87" s="6"/>
      <c r="I87" s="6"/>
    </row>
    <row r="88" spans="2:9" x14ac:dyDescent="0.2">
      <c r="B88" s="6"/>
      <c r="C88" s="6"/>
      <c r="D88" s="6"/>
      <c r="E88" s="6"/>
      <c r="F88" s="6"/>
      <c r="G88" s="6"/>
      <c r="H88" s="6"/>
      <c r="I88" s="6"/>
    </row>
    <row r="89" spans="2:9" x14ac:dyDescent="0.2">
      <c r="B89" s="6"/>
      <c r="C89" s="6"/>
      <c r="D89" s="6"/>
      <c r="E89" s="6"/>
      <c r="F89" s="6"/>
      <c r="G89" s="6"/>
      <c r="H89" s="6"/>
      <c r="I89" s="6"/>
    </row>
    <row r="90" spans="2:9" x14ac:dyDescent="0.2">
      <c r="B90" s="6"/>
      <c r="C90" s="6"/>
      <c r="D90" s="6"/>
      <c r="E90" s="6"/>
      <c r="F90" s="6"/>
      <c r="G90" s="6"/>
      <c r="H90" s="6"/>
      <c r="I90" s="6"/>
    </row>
    <row r="91" spans="2:9" x14ac:dyDescent="0.2">
      <c r="B91" s="6"/>
      <c r="C91" s="6"/>
      <c r="D91" s="6"/>
      <c r="E91" s="6"/>
      <c r="F91" s="6"/>
      <c r="G91" s="6"/>
      <c r="H91" s="6"/>
      <c r="I91" s="6"/>
    </row>
    <row r="92" spans="2:9" x14ac:dyDescent="0.2">
      <c r="B92" s="6"/>
      <c r="C92" s="6"/>
      <c r="D92" s="6"/>
      <c r="E92" s="6"/>
      <c r="F92" s="6"/>
      <c r="G92" s="6"/>
      <c r="H92" s="6"/>
      <c r="I92" s="6"/>
    </row>
    <row r="93" spans="2:9" x14ac:dyDescent="0.2">
      <c r="B93" s="6"/>
      <c r="C93" s="6"/>
      <c r="D93" s="6"/>
      <c r="E93" s="6"/>
      <c r="F93" s="6"/>
      <c r="G93" s="6"/>
      <c r="H93" s="6"/>
      <c r="I93" s="6"/>
    </row>
    <row r="94" spans="2:9" x14ac:dyDescent="0.2">
      <c r="B94" s="6"/>
      <c r="C94" s="6"/>
      <c r="D94" s="6"/>
      <c r="E94" s="6"/>
      <c r="F94" s="6"/>
      <c r="G94" s="6"/>
      <c r="H94" s="6"/>
      <c r="I94" s="6"/>
    </row>
    <row r="95" spans="2:9" x14ac:dyDescent="0.2">
      <c r="B95" s="6"/>
      <c r="C95" s="6"/>
      <c r="D95" s="6"/>
      <c r="E95" s="6"/>
      <c r="F95" s="6"/>
      <c r="G95" s="6"/>
      <c r="H95" s="6"/>
      <c r="I95" s="6"/>
    </row>
    <row r="96" spans="2:9" x14ac:dyDescent="0.2">
      <c r="B96" s="6"/>
      <c r="C96" s="6"/>
      <c r="D96" s="6"/>
      <c r="E96" s="6"/>
      <c r="F96" s="6"/>
      <c r="G96" s="6"/>
      <c r="H96" s="6"/>
      <c r="I96" s="6"/>
    </row>
    <row r="97" spans="2:9" x14ac:dyDescent="0.2">
      <c r="B97" s="6"/>
      <c r="C97" s="6"/>
      <c r="D97" s="6"/>
      <c r="E97" s="6"/>
      <c r="F97" s="6"/>
      <c r="G97" s="6"/>
      <c r="H97" s="6"/>
      <c r="I97" s="6"/>
    </row>
    <row r="98" spans="2:9" x14ac:dyDescent="0.2">
      <c r="B98" s="6"/>
      <c r="C98" s="6"/>
      <c r="D98" s="6"/>
      <c r="E98" s="6"/>
      <c r="F98" s="6"/>
      <c r="G98" s="6"/>
      <c r="H98" s="6"/>
      <c r="I98" s="6"/>
    </row>
    <row r="99" spans="2:9" x14ac:dyDescent="0.2">
      <c r="B99" s="6"/>
      <c r="C99" s="6"/>
      <c r="D99" s="6"/>
      <c r="E99" s="6"/>
      <c r="F99" s="6"/>
      <c r="G99" s="6"/>
      <c r="H99" s="6"/>
      <c r="I99" s="6"/>
    </row>
    <row r="100" spans="2:9" x14ac:dyDescent="0.2">
      <c r="B100" s="6"/>
      <c r="C100" s="6"/>
      <c r="D100" s="6"/>
      <c r="E100" s="6"/>
      <c r="F100" s="6"/>
      <c r="G100" s="6"/>
      <c r="H100" s="6"/>
      <c r="I100" s="6"/>
    </row>
  </sheetData>
  <sheetProtection algorithmName="SHA-512" hashValue="1jeFKRDFpWRe9qF+CQY6a7ormHJofHBF6hSEtdNqKJ7vtCK8jZu4Vaz7zM1i3ItCnSJiyNurCcUCdyrUcn33aQ==" saltValue="ETzLV84lmvzMsWgx3mE7+w==" spinCount="100000" sheet="1" objects="1" scenarios="1" selectLockedCells="1"/>
  <mergeCells count="5">
    <mergeCell ref="C24:D24"/>
    <mergeCell ref="D3:H3"/>
    <mergeCell ref="D5:H5"/>
    <mergeCell ref="D7:H7"/>
    <mergeCell ref="C22:D22"/>
  </mergeCells>
  <conditionalFormatting sqref="B11:H19 C10:H10">
    <cfRule type="expression" dxfId="26" priority="15">
      <formula>LEN($C$9)=0</formula>
    </cfRule>
  </conditionalFormatting>
  <conditionalFormatting sqref="C22:D22 F22 H22">
    <cfRule type="expression" dxfId="25" priority="13">
      <formula>LEN($C21)=0</formula>
    </cfRule>
  </conditionalFormatting>
  <conditionalFormatting sqref="C24:D24">
    <cfRule type="expression" dxfId="24" priority="1">
      <formula>NOT(ISTEXT($D$3))</formula>
    </cfRule>
  </conditionalFormatting>
  <conditionalFormatting sqref="C28:H38">
    <cfRule type="expression" dxfId="23" priority="3" stopIfTrue="1">
      <formula>LEN($C$27)&gt;0</formula>
    </cfRule>
    <cfRule type="expression" dxfId="22" priority="10">
      <formula>LEN($C$27)&gt;0</formula>
    </cfRule>
  </conditionalFormatting>
  <conditionalFormatting sqref="D19">
    <cfRule type="expression" dxfId="21" priority="6">
      <formula>AND(LEN($C$9)&gt;0,$D$19&lt;&gt;1)</formula>
    </cfRule>
  </conditionalFormatting>
  <conditionalFormatting sqref="D29:D35">
    <cfRule type="expression" dxfId="20" priority="7">
      <formula>LEN($F$28)=0</formula>
    </cfRule>
    <cfRule type="expression" dxfId="19" priority="8">
      <formula>LEN($C$27)&gt;0</formula>
    </cfRule>
  </conditionalFormatting>
  <conditionalFormatting sqref="D5:H5 D7:H7">
    <cfRule type="expression" dxfId="18" priority="14">
      <formula>LEN($C5)=0</formula>
    </cfRule>
  </conditionalFormatting>
  <conditionalFormatting sqref="F29:F35">
    <cfRule type="expression" dxfId="16" priority="9">
      <formula>LEN($F$28)=0</formula>
    </cfRule>
  </conditionalFormatting>
  <conditionalFormatting sqref="H37">
    <cfRule type="expression" dxfId="15" priority="4">
      <formula>$G$37&lt;&gt;""</formula>
    </cfRule>
  </conditionalFormatting>
  <dataValidations count="1">
    <dataValidation allowBlank="1" showInputMessage="1" showErrorMessage="1" promptTitle="Bitte auch Holzprodukt anpassen" prompt="Wird nicht automatisch geändert" sqref="D4:H4" xr:uid="{2CAF9CCF-BA65-BF48-9886-79828AEBD0C0}"/>
  </dataValidations>
  <pageMargins left="0.7" right="0.7" top="0.78740157499999996" bottom="0.78740157499999996" header="0.3" footer="0.3"/>
  <pageSetup paperSize="9" scale="52" orientation="portrait" horizontalDpi="0" verticalDpi="0"/>
  <ignoredErrors>
    <ignoredError sqref="E28:F28 E30 E33 E34:E35 D37 G30 G33 G35 G37:H37" evalError="1"/>
  </ignoredErrors>
  <drawing r:id="rId1"/>
  <extLst>
    <ext xmlns:x14="http://schemas.microsoft.com/office/spreadsheetml/2009/9/main" uri="{78C0D931-6437-407d-A8EE-F0AAD7539E65}">
      <x14:conditionalFormattings>
        <x14:conditionalFormatting xmlns:xm="http://schemas.microsoft.com/office/excel/2006/main">
          <x14:cfRule type="expression" priority="16" id="{89964873-E9F2-B840-80E1-A3EB84A2D517}">
            <xm:f>AND(COUNTIF('Hilfstab Menus'!$A$3:$A$14,$D$5)=0,HLOOKUP($D$3,'Hilfstab Eingabemaske'!$A$1:$F$2,2,FALSE)="ja")</xm:f>
            <x14:dxf>
              <font>
                <color rgb="FF9C0006"/>
              </font>
              <fill>
                <patternFill>
                  <bgColor rgb="FFFFC7CE"/>
                </patternFill>
              </fill>
            </x14:dxf>
          </x14:cfRule>
          <xm:sqref>D5:H5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26722ED8-040C-A341-94F5-C54DD6894016}">
          <x14:formula1>
            <xm:f>'Hilfstab Menus'!$A$3:$A$9</xm:f>
          </x14:formula1>
          <xm:sqref>D5:H5</xm:sqref>
        </x14:dataValidation>
        <x14:dataValidation type="list" allowBlank="1" showInputMessage="1" showErrorMessage="1" xr:uid="{3B88E236-5A06-CD4B-A6C4-92A54DABDD42}">
          <x14:formula1>
            <xm:f>Transportdaten!$A$3:$A$11</xm:f>
          </x14:formula1>
          <xm:sqref>C22 C24:D24</xm:sqref>
        </x14:dataValidation>
        <x14:dataValidation type="list" allowBlank="1" showInputMessage="1" showErrorMessage="1" xr:uid="{812FD35E-0976-C242-A559-87B7C94AD157}">
          <x14:formula1>
            <xm:f>'Hilfstab Menus'!$A$17:$A$22</xm:f>
          </x14:formula1>
          <xm:sqref>D7:H7</xm:sqref>
        </x14:dataValidation>
        <x14:dataValidation type="list" allowBlank="1" showErrorMessage="1" promptTitle="Bitte auch Holzprodukt anpassen" prompt="Wird nicht automatisch geändert" xr:uid="{51FAA114-2894-4F44-ADB5-A547F0655D89}">
          <x14:formula1>
            <xm:f>'Hilfstab Eingabemaske'!$B$1:$H$1</xm:f>
          </x14:formula1>
          <xm:sqref>D3:H3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DF8A-2C06-5D46-874B-EA341172841B}">
  <dimension ref="A1:P24"/>
  <sheetViews>
    <sheetView workbookViewId="0">
      <selection activeCell="K10" sqref="K10"/>
    </sheetView>
  </sheetViews>
  <sheetFormatPr baseColWidth="10" defaultRowHeight="16" x14ac:dyDescent="0.2"/>
  <cols>
    <col min="1" max="1" width="31.1640625" customWidth="1"/>
    <col min="2" max="4" width="15" customWidth="1"/>
    <col min="5" max="5" width="16" customWidth="1"/>
    <col min="6" max="6" width="18" customWidth="1"/>
    <col min="7" max="7" width="19.6640625" customWidth="1"/>
    <col min="8" max="9" width="21.83203125" customWidth="1"/>
    <col min="10" max="10" width="20.83203125" customWidth="1"/>
    <col min="11" max="11" width="14" customWidth="1"/>
    <col min="12" max="15" width="13.1640625" customWidth="1"/>
  </cols>
  <sheetData>
    <row r="1" spans="1:16" ht="51" x14ac:dyDescent="0.2">
      <c r="A1" s="15" t="s">
        <v>65</v>
      </c>
      <c r="B1" t="s">
        <v>143</v>
      </c>
      <c r="G1" t="s">
        <v>100</v>
      </c>
      <c r="H1" t="s">
        <v>53</v>
      </c>
      <c r="I1" t="s">
        <v>54</v>
      </c>
      <c r="J1" t="s">
        <v>144</v>
      </c>
      <c r="K1" t="s">
        <v>87</v>
      </c>
      <c r="L1" t="s">
        <v>253</v>
      </c>
      <c r="M1" s="5" t="s">
        <v>249</v>
      </c>
      <c r="N1" s="5" t="s">
        <v>250</v>
      </c>
      <c r="O1" s="5" t="s">
        <v>251</v>
      </c>
      <c r="P1" s="5" t="s">
        <v>252</v>
      </c>
    </row>
    <row r="2" spans="1:16" x14ac:dyDescent="0.2">
      <c r="A2" s="15"/>
      <c r="B2" t="e">
        <f>CONCATENATE($G$2," ",$H$2," ",$I$2," ",$J$2)</f>
        <v>#N/A</v>
      </c>
      <c r="G2">
        <f>Eingabemaske!$D$3</f>
        <v>0</v>
      </c>
      <c r="H2" t="e">
        <f>IF(LEN('Hilfstab Menus'!$A$3)&gt;0,Eingabemaske!$D$5,"")</f>
        <v>#N/A</v>
      </c>
      <c r="I2" t="str">
        <f>IF(Eingabemaske!$D$3='Hilfstab Eingabemaske'!$B$1,Eingabemaske!$D$7,"")</f>
        <v/>
      </c>
      <c r="J2" t="e">
        <f>IF($G$2="Weichfaser-, Spanplatten, Sperrholz",IF($C$4&gt;=$D$4,"- CH","- RER"),IF(B5&gt;0,IF(C5=1,"- CH","- RER"),IF(C4=1,"- CH","- RER")))</f>
        <v>#N/A</v>
      </c>
      <c r="K2" t="e">
        <f>VLOOKUP('Auswertung Eingaben'!$B$2,'Faktoren Prozessketten'!$E$2:$AM$110,MATCH('Faktoren Prozessketten'!$F$2,'Faktoren Prozessketten'!$E$2:$F$2,0),FALSE)</f>
        <v>#N/A</v>
      </c>
      <c r="L2" t="e">
        <f>CONCATENATE("Ant. Lbh in ",$K2)</f>
        <v>#N/A</v>
      </c>
      <c r="M2">
        <f>IF(ISNUMBER(IF($K$2="Laubholz",1,HLOOKUP($L$2,Transportdaten!$A$2:$R$13,MATCH("CH",Transportdaten!$A$2:$A$13,0),FALSE))),IF($K$2="Laubholz",1,HLOOKUP($L$2,Transportdaten!$A$2:$R$13,MATCH("CH",Transportdaten!$A$2:$A$13,0),FALSE)),0)</f>
        <v>0</v>
      </c>
      <c r="N2">
        <f>IF(ISNUMBER(IF($K$2="Laubholz",1,HLOOKUP($L$2,Transportdaten!$A$2:$R$13,MATCH("RER",Transportdaten!$A$2:$A$13,0),FALSE))),IF($K$2="Laubholz",1,HLOOKUP($L$2,Transportdaten!$A$2:$R$13,MATCH("RER",Transportdaten!$A$2:$A$13,0),FALSE)),0)</f>
        <v>0</v>
      </c>
      <c r="O2">
        <f>IF(ISNUMBER(IF($K$2="Nadelholz",1,1-HLOOKUP($L$2,Transportdaten!$A$2:$R$13,MATCH("CH",Transportdaten!$A$2:$A$13,0),FALSE))),IF($K$2="Nadelholz",1,1-HLOOKUP($L$2,Transportdaten!$A$2:$R$13,MATCH("CH",Transportdaten!$A$2:$A$13,0),FALSE)),0)</f>
        <v>0</v>
      </c>
      <c r="P2">
        <f>IF(ISNUMBER(IF($K$2="NAdelholz",1,1-HLOOKUP($L$2,Transportdaten!$A$2:$R$13,MATCH("RER",Transportdaten!$A$2:$A$13,0),FALSE))),IF($K$2="NAdelholz",1,1-HLOOKUP($L$2,Transportdaten!$A$2:$R$13,MATCH("RER",Transportdaten!$A$2:$A$13,0),FALSE)),0)</f>
        <v>0</v>
      </c>
    </row>
    <row r="3" spans="1:16" s="20" customFormat="1" ht="68" x14ac:dyDescent="0.2">
      <c r="A3" s="20" t="s">
        <v>73</v>
      </c>
      <c r="B3" s="20" t="s">
        <v>72</v>
      </c>
      <c r="C3" s="20" t="s">
        <v>62</v>
      </c>
      <c r="D3" s="20" t="s">
        <v>63</v>
      </c>
      <c r="E3" s="20" t="s">
        <v>124</v>
      </c>
      <c r="F3" s="20" t="s">
        <v>93</v>
      </c>
      <c r="G3" s="20" t="s">
        <v>78</v>
      </c>
      <c r="H3" s="20" t="s">
        <v>94</v>
      </c>
      <c r="I3" s="20" t="s">
        <v>95</v>
      </c>
      <c r="J3" s="20" t="s">
        <v>96</v>
      </c>
      <c r="K3" s="20" t="s">
        <v>97</v>
      </c>
      <c r="L3" s="20" t="s">
        <v>98</v>
      </c>
      <c r="M3" s="20" t="s">
        <v>218</v>
      </c>
      <c r="N3" s="20" t="s">
        <v>259</v>
      </c>
      <c r="O3" s="20" t="s">
        <v>258</v>
      </c>
    </row>
    <row r="4" spans="1:16" x14ac:dyDescent="0.2">
      <c r="A4" t="s">
        <v>61</v>
      </c>
      <c r="B4" t="e">
        <f>IF(HLOOKUP(G2,'Hilfstab Eingabemaske'!B1:G5,5,FALSE)="Ja",1,0)</f>
        <v>#N/A</v>
      </c>
      <c r="C4" t="e">
        <f>IF($B$4=1,VLOOKUP("Schweiz",Eingabemaske!$C$10:$D$18,2,FALSE),0)</f>
        <v>#N/A</v>
      </c>
      <c r="D4" t="e">
        <f>IF($B$4=1,1-C4,0)</f>
        <v>#N/A</v>
      </c>
      <c r="E4">
        <f>IF(ISNA(SUM($E$10:$E$18)),0,SUM($E$10:$E$18))</f>
        <v>0</v>
      </c>
      <c r="F4">
        <f>IF(ISNA(SUM($F$10:$F$18)),0,SUM($F$10:$F$18))</f>
        <v>0</v>
      </c>
      <c r="G4" s="13"/>
      <c r="H4" t="e">
        <f>IF($B$4=1,$C$5*VLOOKUP("Schweiz",$A$10:$I$18,MATCH($H$9,$A$9:$I$9,0),FALSE),0)</f>
        <v>#N/A</v>
      </c>
      <c r="I4" t="e">
        <f>IF($B$4=1,SUM($H$10:$H$18)-H4,0)</f>
        <v>#N/A</v>
      </c>
      <c r="J4" t="e">
        <f>IF($B$4=1,$C$5*VLOOKUP("Schweiz",$A$10:$I$18,MATCH($I$9,$A$9:$I$9,0),FALSE),0)</f>
        <v>#N/A</v>
      </c>
      <c r="K4" t="e">
        <f>IF($B$4=1,SUM(I$10:I$18)-J4,0)</f>
        <v>#N/A</v>
      </c>
      <c r="L4" s="13"/>
      <c r="M4" t="e" cm="1">
        <f t="array" ref="M4">SUMPRODUCT($B10:$B18*$K10:$K18)</f>
        <v>#N/A</v>
      </c>
      <c r="N4" t="e" cm="1">
        <f t="array" ref="N4">SUMPRODUCT($B10:$B18*Transportdaten!$M$3:$M$11)</f>
        <v>#N/A</v>
      </c>
      <c r="O4" t="e" cm="1">
        <f t="array" ref="O4">SUMPRODUCT($B10:$B18*Transportdaten!$N$3:$N$11)</f>
        <v>#N/A</v>
      </c>
    </row>
    <row r="5" spans="1:16" x14ac:dyDescent="0.2">
      <c r="A5" t="s">
        <v>73</v>
      </c>
      <c r="B5" t="e">
        <f>IF(LEN(HLOOKUP(Eingabemaske!$D$3,'Hilfstab Eingabemaske'!$B$1:$G$15,10,FALSE))&gt;0,1,0)</f>
        <v>#N/A</v>
      </c>
      <c r="C5">
        <f>IF(Eingabemaske!$C$22="Schweiz",1,0)</f>
        <v>1</v>
      </c>
      <c r="D5" t="e">
        <f>B5*(1-C5)</f>
        <v>#N/A</v>
      </c>
      <c r="E5" s="48" t="e">
        <f>IF($B5=1,IF(ISNUMBER(Eingabemaske!$F$22),Eingabemaske!$F$22,Eingabemaske!$E$22),0)</f>
        <v>#N/A</v>
      </c>
      <c r="F5" t="e">
        <f>IF($B$5=1,IF(ISNUMBER(Eingabemaske!$F$22),Eingabemaske!$F$22,Eingabemaske!$E$22),0)*VLOOKUP($B$2,'Faktoren Prozessketten'!$E:$K,MATCH('Faktoren Prozessketten'!$J$2,'Faktoren Prozessketten'!$E$2:$K$2),FALSE)*$M$5</f>
        <v>#N/A</v>
      </c>
      <c r="G5" s="10" t="e">
        <f>IF(B5=1,IF(ISNUMBER(Eingabemaske!$H$22),Eingabemaske!$H$22,Eingabemaske!$G$22),0)</f>
        <v>#N/A</v>
      </c>
      <c r="H5" t="e">
        <f>C5*F5*G5</f>
        <v>#N/A</v>
      </c>
      <c r="I5" t="e">
        <f>$B5*(F5*G5-H5)</f>
        <v>#N/A</v>
      </c>
      <c r="J5" t="e">
        <f>$C$5*$F5*(1-$G5)</f>
        <v>#N/A</v>
      </c>
      <c r="K5" t="e">
        <f>$F5*(1-$G5)-J5</f>
        <v>#N/A</v>
      </c>
      <c r="L5" t="e">
        <f>VLOOKUP($B$2,'Faktoren Prozessketten'!$E$2:$G$106,MATCH('Faktoren Prozessketten'!$G$2,'Faktoren Prozessketten'!$E$2:$G$2,0),FALSE)*VLOOKUP($B$2,'Faktoren Prozessketten'!$E$2:$I$106,MATCH('Faktoren Prozessketten'!$I$2,'Faktoren Prozessketten'!$E$2:$I$2,0),FALSE)</f>
        <v>#N/A</v>
      </c>
      <c r="M5" t="e">
        <f>VLOOKUP($B$2,'Faktoren Prozessketten'!$E$2:$G$106,MATCH('Faktoren Prozessketten'!$G$2,'Faktoren Prozessketten'!$E$2:$G$2,0),FALSE)</f>
        <v>#N/A</v>
      </c>
    </row>
    <row r="6" spans="1:16" x14ac:dyDescent="0.2">
      <c r="A6" t="s">
        <v>86</v>
      </c>
      <c r="B6" t="e">
        <f>IF(LEN(HLOOKUP(Eingabemaske!$D$3,'Hilfstab Eingabemaske'!$B$1:$G$15,ROW('Hilfstab Eingabemaske'!A15),FALSE))&gt;0,1,0)</f>
        <v>#N/A</v>
      </c>
      <c r="C6">
        <f>IF(Eingabemaske!$C$24="Schweiz",1,0)</f>
        <v>1</v>
      </c>
      <c r="D6" t="e">
        <f t="shared" ref="D6" si="0">B6*(1-C6)</f>
        <v>#N/A</v>
      </c>
      <c r="E6" s="13"/>
    </row>
    <row r="8" spans="1:16" s="13" customFormat="1" x14ac:dyDescent="0.2">
      <c r="A8" s="13" t="s">
        <v>64</v>
      </c>
    </row>
    <row r="9" spans="1:16" s="12" customFormat="1" ht="51" x14ac:dyDescent="0.2">
      <c r="A9" s="12" t="s">
        <v>60</v>
      </c>
      <c r="B9" s="12" t="s">
        <v>77</v>
      </c>
      <c r="C9" s="12" t="s">
        <v>145</v>
      </c>
      <c r="D9" s="12" t="s">
        <v>90</v>
      </c>
      <c r="E9" s="12" t="s">
        <v>125</v>
      </c>
      <c r="F9" s="12" t="s">
        <v>203</v>
      </c>
      <c r="G9" s="12" t="s">
        <v>78</v>
      </c>
      <c r="H9" s="12" t="s">
        <v>91</v>
      </c>
      <c r="I9" s="12" t="s">
        <v>92</v>
      </c>
      <c r="J9" s="12" t="s">
        <v>98</v>
      </c>
      <c r="K9" s="12" t="s">
        <v>390</v>
      </c>
      <c r="L9" s="12" t="s">
        <v>319</v>
      </c>
      <c r="M9" s="12" t="s">
        <v>355</v>
      </c>
      <c r="N9" s="12" t="s">
        <v>356</v>
      </c>
    </row>
    <row r="10" spans="1:16" x14ac:dyDescent="0.2">
      <c r="A10" t="str">
        <f>Transportdaten!A3</f>
        <v>Deutschland</v>
      </c>
      <c r="B10" s="10" t="e">
        <f>VLOOKUP($A10,Eingabemaske!$C$10:$D$18,2,FALSE)</f>
        <v>#N/A</v>
      </c>
      <c r="C10" t="e">
        <f>VLOOKUP($A10,Transportdaten!$A$2:$J$11,MATCH(IF($B$5=1,Eingabemaske!$C$22,Eingabemaske!$C$24),Transportdaten!$A$2:$J$2,FALSE),FALSE)</f>
        <v>#N/A</v>
      </c>
      <c r="D10" t="e">
        <f>IF(ISNUMBER(VLOOKUP($A10,Eingabemaske!$C$10:$F$18,4,FALSE)),VLOOKUP($A10,Eingabemaske!$C$10:$F$18,4,FALSE),$C10)</f>
        <v>#N/A</v>
      </c>
      <c r="E10" t="e">
        <f t="shared" ref="E10:E18" si="1">$B10*$D10</f>
        <v>#N/A</v>
      </c>
      <c r="F10" t="e">
        <f t="shared" ref="F10:F18" si="2">B10*D10*$J10</f>
        <v>#N/A</v>
      </c>
      <c r="G10" s="10" t="e">
        <f>IF(ISNUMBER(VLOOKUP($A10,Eingabemaske!$C$10:$H$18,6,FALSE)),VLOOKUP($A10,Eingabemaske!$C$10:$H$18,6,FALSE),VLOOKUP($A10,Eingabemaske!$C$10:$H$18,5,FALSE))</f>
        <v>#N/A</v>
      </c>
      <c r="H10" t="e">
        <f t="shared" ref="H10:H18" si="3">$F10*$G10</f>
        <v>#N/A</v>
      </c>
      <c r="I10" t="e">
        <f t="shared" ref="I10:I18" si="4">$F10*(1-$G10)</f>
        <v>#N/A</v>
      </c>
      <c r="J10" t="e">
        <f>IF($G$2="Weichfaser-, Spanplatten, Sperrholz",$L10,$K10)*VLOOKUP($B$2,'Faktoren Prozessketten'!$E$2:$AM$105,MATCH('Faktoren Prozessketten'!$I$2,'Faktoren Prozessketten'!$E$2:'Faktoren Prozessketten'!$CJ$2,0),FALSE)</f>
        <v>#N/A</v>
      </c>
      <c r="K10" t="e">
        <f>IF(Eingabemaske!$D$3="Lagenholz",VLOOKUP($K$2,Transportdaten!$B$16:$C$17,2,FALSE),HLOOKUP(VLOOKUP($B$2,'Faktoren Prozessketten'!$E$4:$F$150,MATCH('Faktoren Prozessketten'!$F$2,'Faktoren Prozessketten'!$E$2:$F$2,0),FALSE),Transportdaten!$M$1:$Q$11,ROW()-ROW('Auswertung Eingaben'!$A$10)+3,FALSE))</f>
        <v>#N/A</v>
      </c>
      <c r="L10" t="e">
        <f>VLOOKUP($B$2,'Faktoren Prozessketten'!E:G,3,FALSE)</f>
        <v>#N/A</v>
      </c>
    </row>
    <row r="11" spans="1:16" x14ac:dyDescent="0.2">
      <c r="A11" t="str">
        <f>Transportdaten!A4</f>
        <v>Finnland</v>
      </c>
      <c r="B11" s="10" t="e">
        <f>VLOOKUP($A11,Eingabemaske!$C$10:$D$18,2,FALSE)</f>
        <v>#N/A</v>
      </c>
      <c r="C11" t="e">
        <f>VLOOKUP($A11,Transportdaten!$A$2:$J$11,MATCH(IF($B$5=1,Eingabemaske!$C$22,Eingabemaske!$C$24),Transportdaten!$A$2:$J$2,FALSE),FALSE)</f>
        <v>#N/A</v>
      </c>
      <c r="D11" t="e">
        <f>IF(ISNUMBER(VLOOKUP($A11,Eingabemaske!$C$10:$F$18,4,FALSE)),VLOOKUP($A11,Eingabemaske!$C$10:$F$18,4,FALSE),$C11)</f>
        <v>#N/A</v>
      </c>
      <c r="E11" t="e">
        <f t="shared" si="1"/>
        <v>#N/A</v>
      </c>
      <c r="F11" t="e">
        <f t="shared" si="2"/>
        <v>#N/A</v>
      </c>
      <c r="G11" s="10" t="e">
        <f>IF(ISNUMBER(VLOOKUP($A11,Eingabemaske!$C$10:$H$18,6,FALSE)),VLOOKUP($A11,Eingabemaske!$C$10:$H$18,6,FALSE),VLOOKUP($A11,Eingabemaske!$C$10:$H$18,5,FALSE))</f>
        <v>#N/A</v>
      </c>
      <c r="H11" t="e">
        <f t="shared" si="3"/>
        <v>#N/A</v>
      </c>
      <c r="I11" t="e">
        <f t="shared" si="4"/>
        <v>#N/A</v>
      </c>
      <c r="J11" t="e">
        <f>IF($G$2="Weichfaser-, Spanplatten, Sperrholz",$L11,$K11)*VLOOKUP($B$2,'Faktoren Prozessketten'!$E$2:$AM$105,MATCH('Faktoren Prozessketten'!$I$2,'Faktoren Prozessketten'!$E$2:'Faktoren Prozessketten'!$CJ$2,0),FALSE)</f>
        <v>#N/A</v>
      </c>
      <c r="K11" t="e">
        <f>IF(Eingabemaske!$D$3="Lagenholz",VLOOKUP($K$2,Transportdaten!$B$16:$C$17,2,FALSE),HLOOKUP(VLOOKUP($B$2,'Faktoren Prozessketten'!$E$4:$F$150,MATCH('Faktoren Prozessketten'!$F$2,'Faktoren Prozessketten'!$E$2:$F$2,0),FALSE),Transportdaten!$M$1:$Q$11,ROW()-ROW('Auswertung Eingaben'!$A$10)+3,FALSE))</f>
        <v>#N/A</v>
      </c>
      <c r="L11" t="e">
        <f>VLOOKUP($B$2,'Faktoren Prozessketten'!E:G,3,FALSE)</f>
        <v>#N/A</v>
      </c>
    </row>
    <row r="12" spans="1:16" x14ac:dyDescent="0.2">
      <c r="A12" t="str">
        <f>Transportdaten!A5</f>
        <v>Frankreich</v>
      </c>
      <c r="B12" s="10" t="e">
        <f>VLOOKUP($A12,Eingabemaske!$C$10:$D$18,2,FALSE)</f>
        <v>#N/A</v>
      </c>
      <c r="C12" t="e">
        <f>VLOOKUP($A12,Transportdaten!$A$2:$J$11,MATCH(IF($B$5=1,Eingabemaske!$C$22,Eingabemaske!$C$24),Transportdaten!$A$2:$J$2,FALSE),FALSE)</f>
        <v>#N/A</v>
      </c>
      <c r="D12" t="e">
        <f>IF(ISNUMBER(VLOOKUP($A12,Eingabemaske!$C$10:$F$18,4,FALSE)),VLOOKUP($A12,Eingabemaske!$C$10:$F$18,4,FALSE),$C12)</f>
        <v>#N/A</v>
      </c>
      <c r="E12" t="e">
        <f t="shared" si="1"/>
        <v>#N/A</v>
      </c>
      <c r="F12" t="e">
        <f t="shared" si="2"/>
        <v>#N/A</v>
      </c>
      <c r="G12" s="10" t="e">
        <f>IF(ISNUMBER(VLOOKUP($A12,Eingabemaske!$C$10:$H$18,6,FALSE)),VLOOKUP($A12,Eingabemaske!$C$10:$H$18,6,FALSE),VLOOKUP($A12,Eingabemaske!$C$10:$H$18,5,FALSE))</f>
        <v>#N/A</v>
      </c>
      <c r="H12" t="e">
        <f t="shared" si="3"/>
        <v>#N/A</v>
      </c>
      <c r="I12" t="e">
        <f t="shared" si="4"/>
        <v>#N/A</v>
      </c>
      <c r="J12" t="e">
        <f>IF($G$2="Weichfaser-, Spanplatten, Sperrholz",$L12,$K12)*VLOOKUP($B$2,'Faktoren Prozessketten'!$E$2:$AM$105,MATCH('Faktoren Prozessketten'!$I$2,'Faktoren Prozessketten'!$E$2:'Faktoren Prozessketten'!$CJ$2,0),FALSE)</f>
        <v>#N/A</v>
      </c>
      <c r="K12" t="e">
        <f>IF(Eingabemaske!$D$3="Lagenholz",VLOOKUP($K$2,Transportdaten!$B$16:$C$17,2,FALSE),HLOOKUP(VLOOKUP($B$2,'Faktoren Prozessketten'!$E$4:$F$150,MATCH('Faktoren Prozessketten'!$F$2,'Faktoren Prozessketten'!$E$2:$F$2,0),FALSE),Transportdaten!$M$1:$Q$11,ROW()-ROW('Auswertung Eingaben'!$A$10)+3,FALSE))</f>
        <v>#N/A</v>
      </c>
      <c r="L12" t="e">
        <f>VLOOKUP($B$2,'Faktoren Prozessketten'!E:G,3,FALSE)</f>
        <v>#N/A</v>
      </c>
    </row>
    <row r="13" spans="1:16" x14ac:dyDescent="0.2">
      <c r="A13" t="str">
        <f>Transportdaten!A6</f>
        <v>Italien</v>
      </c>
      <c r="B13" s="10" t="e">
        <f>VLOOKUP($A13,Eingabemaske!$C$10:$D$18,2,FALSE)</f>
        <v>#N/A</v>
      </c>
      <c r="C13" t="e">
        <f>VLOOKUP($A13,Transportdaten!$A$2:$J$11,MATCH(IF($B$5=1,Eingabemaske!$C$22,Eingabemaske!$C$24),Transportdaten!$A$2:$J$2,FALSE),FALSE)</f>
        <v>#N/A</v>
      </c>
      <c r="D13" t="e">
        <f>IF(ISNUMBER(VLOOKUP($A13,Eingabemaske!$C$10:$F$18,4,FALSE)),VLOOKUP($A13,Eingabemaske!$C$10:$F$18,4,FALSE),$C13)</f>
        <v>#N/A</v>
      </c>
      <c r="E13" t="e">
        <f t="shared" si="1"/>
        <v>#N/A</v>
      </c>
      <c r="F13" t="e">
        <f t="shared" si="2"/>
        <v>#N/A</v>
      </c>
      <c r="G13" s="10" t="e">
        <f>IF(ISNUMBER(VLOOKUP($A13,Eingabemaske!$C$10:$H$18,6,FALSE)),VLOOKUP($A13,Eingabemaske!$C$10:$H$18,6,FALSE),VLOOKUP($A13,Eingabemaske!$C$10:$H$18,5,FALSE))</f>
        <v>#N/A</v>
      </c>
      <c r="H13" t="e">
        <f t="shared" si="3"/>
        <v>#N/A</v>
      </c>
      <c r="I13" t="e">
        <f t="shared" si="4"/>
        <v>#N/A</v>
      </c>
      <c r="J13" t="e">
        <f>IF($G$2="Weichfaser-, Spanplatten, Sperrholz",$L13,$K13)*VLOOKUP($B$2,'Faktoren Prozessketten'!$E$2:$AM$105,MATCH('Faktoren Prozessketten'!$I$2,'Faktoren Prozessketten'!$E$2:'Faktoren Prozessketten'!$CJ$2,0),FALSE)</f>
        <v>#N/A</v>
      </c>
      <c r="K13" t="e">
        <f>IF(Eingabemaske!$D$3="Lagenholz",VLOOKUP($K$2,Transportdaten!$B$16:$C$17,2,FALSE),HLOOKUP(VLOOKUP($B$2,'Faktoren Prozessketten'!$E$4:$F$150,MATCH('Faktoren Prozessketten'!$F$2,'Faktoren Prozessketten'!$E$2:$F$2,0),FALSE),Transportdaten!$M$1:$Q$11,ROW()-ROW('Auswertung Eingaben'!$A$10)+3,FALSE))</f>
        <v>#N/A</v>
      </c>
      <c r="L13" t="e">
        <f>VLOOKUP($B$2,'Faktoren Prozessketten'!E:G,3,FALSE)</f>
        <v>#N/A</v>
      </c>
    </row>
    <row r="14" spans="1:16" x14ac:dyDescent="0.2">
      <c r="A14" t="str">
        <f>Transportdaten!A7</f>
        <v>Norwegen</v>
      </c>
      <c r="B14" s="10" t="e">
        <f>VLOOKUP($A14,Eingabemaske!$C$10:$D$18,2,FALSE)</f>
        <v>#N/A</v>
      </c>
      <c r="C14" t="e">
        <f>VLOOKUP($A14,Transportdaten!$A$2:$J$11,MATCH(IF($B$5=1,Eingabemaske!$C$22,Eingabemaske!$C$24),Transportdaten!$A$2:$J$2,FALSE),FALSE)</f>
        <v>#N/A</v>
      </c>
      <c r="D14" t="e">
        <f>IF(ISNUMBER(VLOOKUP($A14,Eingabemaske!$C$10:$F$18,4,FALSE)),VLOOKUP($A14,Eingabemaske!$C$10:$F$18,4,FALSE),$C14)</f>
        <v>#N/A</v>
      </c>
      <c r="E14" t="e">
        <f t="shared" si="1"/>
        <v>#N/A</v>
      </c>
      <c r="F14" t="e">
        <f t="shared" si="2"/>
        <v>#N/A</v>
      </c>
      <c r="G14" s="10" t="e">
        <f>IF(ISNUMBER(VLOOKUP($A14,Eingabemaske!$C$10:$H$18,6,FALSE)),VLOOKUP($A14,Eingabemaske!$C$10:$H$18,6,FALSE),VLOOKUP($A14,Eingabemaske!$C$10:$H$18,5,FALSE))</f>
        <v>#N/A</v>
      </c>
      <c r="H14" t="e">
        <f t="shared" si="3"/>
        <v>#N/A</v>
      </c>
      <c r="I14" t="e">
        <f t="shared" si="4"/>
        <v>#N/A</v>
      </c>
      <c r="J14" t="e">
        <f>IF($G$2="Weichfaser-, Spanplatten, Sperrholz",$L14,$K14)*VLOOKUP($B$2,'Faktoren Prozessketten'!$E$2:$AM$105,MATCH('Faktoren Prozessketten'!$I$2,'Faktoren Prozessketten'!$E$2:'Faktoren Prozessketten'!$CJ$2,0),FALSE)</f>
        <v>#N/A</v>
      </c>
      <c r="K14" t="e">
        <f>IF(Eingabemaske!$D$3="Lagenholz",VLOOKUP($K$2,Transportdaten!$B$16:$C$17,2,FALSE),HLOOKUP(VLOOKUP($B$2,'Faktoren Prozessketten'!$E$4:$F$150,MATCH('Faktoren Prozessketten'!$F$2,'Faktoren Prozessketten'!$E$2:$F$2,0),FALSE),Transportdaten!$M$1:$Q$11,ROW()-ROW('Auswertung Eingaben'!$A$10)+3,FALSE))</f>
        <v>#N/A</v>
      </c>
      <c r="L14" t="e">
        <f>VLOOKUP($B$2,'Faktoren Prozessketten'!E:G,3,FALSE)</f>
        <v>#N/A</v>
      </c>
    </row>
    <row r="15" spans="1:16" x14ac:dyDescent="0.2">
      <c r="A15" t="str">
        <f>Transportdaten!A8</f>
        <v>Österreich</v>
      </c>
      <c r="B15" s="10" t="e">
        <f>VLOOKUP($A15,Eingabemaske!$C$10:$D$18,2,FALSE)</f>
        <v>#N/A</v>
      </c>
      <c r="C15" t="e">
        <f>VLOOKUP($A15,Transportdaten!$A$2:$J$11,MATCH(IF($B$5=1,Eingabemaske!$C$22,Eingabemaske!$C$24),Transportdaten!$A$2:$J$2,FALSE),FALSE)</f>
        <v>#N/A</v>
      </c>
      <c r="D15" t="e">
        <f>IF(ISNUMBER(VLOOKUP($A15,Eingabemaske!$C$10:$F$18,4,FALSE)),VLOOKUP($A15,Eingabemaske!$C$10:$F$18,4,FALSE),$C15)</f>
        <v>#N/A</v>
      </c>
      <c r="E15" t="e">
        <f t="shared" si="1"/>
        <v>#N/A</v>
      </c>
      <c r="F15" t="e">
        <f t="shared" si="2"/>
        <v>#N/A</v>
      </c>
      <c r="G15" s="10" t="e">
        <f>IF(ISNUMBER(VLOOKUP($A15,Eingabemaske!$C$10:$H$18,6,FALSE)),VLOOKUP($A15,Eingabemaske!$C$10:$H$18,6,FALSE),VLOOKUP($A15,Eingabemaske!$C$10:$H$18,5,FALSE))</f>
        <v>#N/A</v>
      </c>
      <c r="H15" t="e">
        <f t="shared" si="3"/>
        <v>#N/A</v>
      </c>
      <c r="I15" t="e">
        <f t="shared" si="4"/>
        <v>#N/A</v>
      </c>
      <c r="J15" t="e">
        <f>IF($G$2="Weichfaser-, Spanplatten, Sperrholz",$L15,$K15)*VLOOKUP($B$2,'Faktoren Prozessketten'!$E$2:$AM$105,MATCH('Faktoren Prozessketten'!$I$2,'Faktoren Prozessketten'!$E$2:'Faktoren Prozessketten'!$CJ$2,0),FALSE)</f>
        <v>#N/A</v>
      </c>
      <c r="K15" t="e">
        <f>IF(Eingabemaske!$D$3="Lagenholz",VLOOKUP($K$2,Transportdaten!$B$16:$C$17,2,FALSE),HLOOKUP(VLOOKUP($B$2,'Faktoren Prozessketten'!$E$4:$F$150,MATCH('Faktoren Prozessketten'!$F$2,'Faktoren Prozessketten'!$E$2:$F$2,0),FALSE),Transportdaten!$M$1:$Q$11,ROW()-ROW('Auswertung Eingaben'!$A$10)+3,FALSE))</f>
        <v>#N/A</v>
      </c>
      <c r="L15" t="e">
        <f>VLOOKUP($B$2,'Faktoren Prozessketten'!E:G,3,FALSE)</f>
        <v>#N/A</v>
      </c>
    </row>
    <row r="16" spans="1:16" x14ac:dyDescent="0.2">
      <c r="A16" t="str">
        <f>Transportdaten!A9</f>
        <v>Schweden</v>
      </c>
      <c r="B16" s="10" t="e">
        <f>VLOOKUP($A16,Eingabemaske!$C$10:$D$18,2,FALSE)</f>
        <v>#N/A</v>
      </c>
      <c r="C16" t="e">
        <f>VLOOKUP($A16,Transportdaten!$A$2:$J$11,MATCH(IF($B$5=1,Eingabemaske!$C$22,Eingabemaske!$C$24),Transportdaten!$A$2:$J$2,FALSE),FALSE)</f>
        <v>#N/A</v>
      </c>
      <c r="D16" t="e">
        <f>IF(ISNUMBER(VLOOKUP($A16,Eingabemaske!$C$10:$F$18,4,FALSE)),VLOOKUP($A16,Eingabemaske!$C$10:$F$18,4,FALSE),$C16)</f>
        <v>#N/A</v>
      </c>
      <c r="E16" t="e">
        <f t="shared" si="1"/>
        <v>#N/A</v>
      </c>
      <c r="F16" t="e">
        <f t="shared" si="2"/>
        <v>#N/A</v>
      </c>
      <c r="G16" s="10" t="e">
        <f>IF(ISNUMBER(VLOOKUP($A16,Eingabemaske!$C$10:$H$18,6,FALSE)),VLOOKUP($A16,Eingabemaske!$C$10:$H$18,6,FALSE),VLOOKUP($A16,Eingabemaske!$C$10:$H$18,5,FALSE))</f>
        <v>#N/A</v>
      </c>
      <c r="H16" t="e">
        <f t="shared" si="3"/>
        <v>#N/A</v>
      </c>
      <c r="I16" t="e">
        <f t="shared" si="4"/>
        <v>#N/A</v>
      </c>
      <c r="J16" t="e">
        <f>IF($G$2="Weichfaser-, Spanplatten, Sperrholz",$L16,$K16)*VLOOKUP($B$2,'Faktoren Prozessketten'!$E$2:$AM$105,MATCH('Faktoren Prozessketten'!$I$2,'Faktoren Prozessketten'!$E$2:'Faktoren Prozessketten'!$CJ$2,0),FALSE)</f>
        <v>#N/A</v>
      </c>
      <c r="K16" t="e">
        <f>IF(Eingabemaske!$D$3="Lagenholz",VLOOKUP($K$2,Transportdaten!$B$16:$C$17,2,FALSE),HLOOKUP(VLOOKUP($B$2,'Faktoren Prozessketten'!$E$4:$F$150,MATCH('Faktoren Prozessketten'!$F$2,'Faktoren Prozessketten'!$E$2:$F$2,0),FALSE),Transportdaten!$M$1:$Q$11,ROW()-ROW('Auswertung Eingaben'!$A$10)+3,FALSE))</f>
        <v>#N/A</v>
      </c>
      <c r="L16" t="e">
        <f>VLOOKUP($B$2,'Faktoren Prozessketten'!E:G,3,FALSE)</f>
        <v>#N/A</v>
      </c>
    </row>
    <row r="17" spans="1:12" x14ac:dyDescent="0.2">
      <c r="A17" t="str">
        <f>Transportdaten!A10</f>
        <v>Schweiz</v>
      </c>
      <c r="B17" s="10" t="e">
        <f>VLOOKUP($A17,Eingabemaske!$C$10:$D$18,2,FALSE)</f>
        <v>#N/A</v>
      </c>
      <c r="C17" t="e">
        <f>VLOOKUP($A17,Transportdaten!$A$2:$J$11,MATCH(IF($B$5=1,Eingabemaske!$C$22,Eingabemaske!$C$24),Transportdaten!$A$2:$J$2,FALSE),FALSE)</f>
        <v>#N/A</v>
      </c>
      <c r="D17" t="e">
        <f>IF(ISNUMBER(VLOOKUP($A17,Eingabemaske!$C$10:$F$18,4,FALSE)),VLOOKUP($A17,Eingabemaske!$C$10:$F$18,4,FALSE),$C17)</f>
        <v>#N/A</v>
      </c>
      <c r="E17" t="e">
        <f t="shared" si="1"/>
        <v>#N/A</v>
      </c>
      <c r="F17" t="e">
        <f t="shared" si="2"/>
        <v>#N/A</v>
      </c>
      <c r="G17" s="10" t="e">
        <f>IF(ISNUMBER(VLOOKUP($A17,Eingabemaske!$C$10:$H$18,6,FALSE)),VLOOKUP($A17,Eingabemaske!$C$10:$H$18,6,FALSE),VLOOKUP($A17,Eingabemaske!$C$10:$H$18,5,FALSE))</f>
        <v>#N/A</v>
      </c>
      <c r="H17" t="e">
        <f t="shared" si="3"/>
        <v>#N/A</v>
      </c>
      <c r="I17" t="e">
        <f t="shared" si="4"/>
        <v>#N/A</v>
      </c>
      <c r="J17" t="e">
        <f>IF($G$2="Weichfaser-, Spanplatten, Sperrholz",$L17,$K17)*VLOOKUP($B$2,'Faktoren Prozessketten'!$E$2:$AM$105,MATCH('Faktoren Prozessketten'!$I$2,'Faktoren Prozessketten'!$E$2:'Faktoren Prozessketten'!$CJ$2,0),FALSE)</f>
        <v>#N/A</v>
      </c>
      <c r="K17" t="e">
        <f>IF(Eingabemaske!$D$3="Lagenholz",VLOOKUP($K$2,Transportdaten!$B$16:$C$17,2,FALSE),HLOOKUP(VLOOKUP($B$2,'Faktoren Prozessketten'!$E$4:$F$150,MATCH('Faktoren Prozessketten'!$F$2,'Faktoren Prozessketten'!$E$2:$F$2,0),FALSE),Transportdaten!$M$1:$Q$11,ROW()-ROW('Auswertung Eingaben'!$A$10)+3,FALSE))</f>
        <v>#N/A</v>
      </c>
      <c r="L17" t="e">
        <f>VLOOKUP($B$2,'Faktoren Prozessketten'!E:G,3,FALSE)</f>
        <v>#N/A</v>
      </c>
    </row>
    <row r="18" spans="1:12" x14ac:dyDescent="0.2">
      <c r="A18" t="str">
        <f>Transportdaten!A11</f>
        <v>Ungarn</v>
      </c>
      <c r="B18" s="10" t="e">
        <f>VLOOKUP($A18,Eingabemaske!$C$10:$D$18,2,FALSE)</f>
        <v>#N/A</v>
      </c>
      <c r="C18" t="e">
        <f>VLOOKUP($A18,Transportdaten!$A$2:$J$11,MATCH(IF($B$5=1,Eingabemaske!$C$22,Eingabemaske!$C$24),Transportdaten!$A$2:$J$2,FALSE),FALSE)</f>
        <v>#N/A</v>
      </c>
      <c r="D18" t="e">
        <f>IF(ISNUMBER(VLOOKUP($A18,Eingabemaske!$C$10:$F$18,4,FALSE)),VLOOKUP($A18,Eingabemaske!$C$10:$F$18,4,FALSE),$C18)</f>
        <v>#N/A</v>
      </c>
      <c r="E18" t="e">
        <f t="shared" si="1"/>
        <v>#N/A</v>
      </c>
      <c r="F18" t="e">
        <f t="shared" si="2"/>
        <v>#N/A</v>
      </c>
      <c r="G18" s="10" t="e">
        <f>IF(ISNUMBER(VLOOKUP($A18,Eingabemaske!$C$10:$H$18,6,FALSE)),VLOOKUP($A18,Eingabemaske!$C$10:$H$18,6,FALSE),VLOOKUP($A18,Eingabemaske!$C$10:$H$18,5,FALSE))</f>
        <v>#N/A</v>
      </c>
      <c r="H18" t="e">
        <f t="shared" si="3"/>
        <v>#N/A</v>
      </c>
      <c r="I18" t="e">
        <f t="shared" si="4"/>
        <v>#N/A</v>
      </c>
      <c r="J18" t="e">
        <f>IF($G$2="Weichfaser-, Spanplatten, Sperrholz",$L18,$K18)*VLOOKUP($B$2,'Faktoren Prozessketten'!$E$2:$AM$105,MATCH('Faktoren Prozessketten'!$I$2,'Faktoren Prozessketten'!$E$2:'Faktoren Prozessketten'!$CJ$2,0),FALSE)</f>
        <v>#N/A</v>
      </c>
      <c r="K18" t="e">
        <f>IF(Eingabemaske!$D$3="Lagenholz",VLOOKUP($K$2,Transportdaten!$B$16:$C$17,2,FALSE),HLOOKUP(VLOOKUP($B$2,'Faktoren Prozessketten'!$E$4:$F$150,MATCH('Faktoren Prozessketten'!$F$2,'Faktoren Prozessketten'!$E$2:$F$2,0),FALSE),Transportdaten!$M$1:$Q$11,ROW()-ROW('Auswertung Eingaben'!$A$10)+3,FALSE))</f>
        <v>#N/A</v>
      </c>
      <c r="L18" t="e">
        <f>VLOOKUP($B$2,'Faktoren Prozessketten'!E:G,3,FALSE)</f>
        <v>#N/A</v>
      </c>
    </row>
    <row r="19" spans="1:12" x14ac:dyDescent="0.2">
      <c r="C19" t="s">
        <v>266</v>
      </c>
    </row>
    <row r="20" spans="1:12" x14ac:dyDescent="0.2">
      <c r="A20" s="15" t="s">
        <v>262</v>
      </c>
      <c r="B20" t="s">
        <v>373</v>
      </c>
      <c r="C20">
        <v>0</v>
      </c>
      <c r="D20">
        <v>1</v>
      </c>
      <c r="E20">
        <v>2</v>
      </c>
    </row>
    <row r="21" spans="1:12" x14ac:dyDescent="0.2">
      <c r="A21" t="s">
        <v>263</v>
      </c>
      <c r="B21">
        <f>IF(LEN(Eingabemaske!D3)&gt;0,IF(AND(COUNTIF('Hilfstab Menus'!$A$3:$A$14,Eingabemaske!$D$5)=0,HLOOKUP(Eingabemaske!$D$3,'Hilfstab Eingabemaske'!$A$1:$G$2,2,FALSE)="ja"),1,IF(AND(LEN(Eingabemaske!$D$3)&gt;0,LEN(Eingabemaske!$D$5)=0),2,0)),0)</f>
        <v>0</v>
      </c>
      <c r="C21" t="str">
        <f>""</f>
        <v/>
      </c>
      <c r="D21" t="s">
        <v>267</v>
      </c>
      <c r="E21" t="s">
        <v>374</v>
      </c>
    </row>
    <row r="22" spans="1:12" x14ac:dyDescent="0.2">
      <c r="A22" t="s">
        <v>265</v>
      </c>
      <c r="B22">
        <f>IF(LEN(Eingabemaske!D3)&gt;0,IF(AND($B$4=1,Eingabemaske!$D$19&lt;&gt;1),1,0),0)</f>
        <v>0</v>
      </c>
      <c r="C22" t="str">
        <f>""</f>
        <v/>
      </c>
      <c r="D22" t="s">
        <v>347</v>
      </c>
    </row>
    <row r="23" spans="1:12" x14ac:dyDescent="0.2">
      <c r="A23" t="s">
        <v>375</v>
      </c>
      <c r="B23">
        <f>IF(AND(Eingabemaske!$D$3='Hilfstab Eingabemaske'!B1,LEN(Eingabemaske!$D$7)=0),1,0)</f>
        <v>0</v>
      </c>
      <c r="C23" t="str">
        <f>""</f>
        <v/>
      </c>
      <c r="D23" t="s">
        <v>376</v>
      </c>
    </row>
    <row r="24" spans="1:12" x14ac:dyDescent="0.2">
      <c r="A24" t="s">
        <v>377</v>
      </c>
      <c r="B24">
        <f>IF(NOT(LEN(Eingabemaske!D3)&gt;0),1,0)</f>
        <v>1</v>
      </c>
      <c r="C24" t="str">
        <f>""</f>
        <v/>
      </c>
      <c r="D24" t="s">
        <v>378</v>
      </c>
    </row>
  </sheetData>
  <conditionalFormatting sqref="C27:H37">
    <cfRule type="expression" dxfId="14" priority="1">
      <formula>$B$21</formula>
    </cfRule>
  </conditionalFormatting>
  <pageMargins left="0.7" right="0.7" top="0.78740157499999996" bottom="0.78740157499999996"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D5970-7FE6-0140-983E-C3F9F1AC0927}">
  <dimension ref="A1:F15"/>
  <sheetViews>
    <sheetView workbookViewId="0">
      <selection activeCell="C2" sqref="C2"/>
    </sheetView>
  </sheetViews>
  <sheetFormatPr baseColWidth="10" defaultRowHeight="16" x14ac:dyDescent="0.2"/>
  <cols>
    <col min="1" max="1" width="58" style="2" customWidth="1"/>
    <col min="2" max="2" width="32.83203125" style="2" customWidth="1"/>
    <col min="3" max="3" width="11.1640625" style="2" customWidth="1"/>
    <col min="4" max="4" width="13.33203125" style="2" customWidth="1"/>
    <col min="5" max="5" width="14.5" style="2" customWidth="1"/>
    <col min="6" max="6" width="11.1640625" style="2" customWidth="1"/>
    <col min="7" max="16384" width="10.83203125" style="2"/>
  </cols>
  <sheetData>
    <row r="1" spans="1:6" ht="51" x14ac:dyDescent="0.2">
      <c r="A1" s="109" t="s">
        <v>127</v>
      </c>
      <c r="B1" s="109" t="s">
        <v>296</v>
      </c>
      <c r="C1" s="110" t="s">
        <v>40</v>
      </c>
      <c r="D1" s="110" t="s">
        <v>297</v>
      </c>
      <c r="E1" s="109" t="s">
        <v>41</v>
      </c>
      <c r="F1" s="109" t="s">
        <v>202</v>
      </c>
    </row>
    <row r="2" spans="1:6" ht="17" x14ac:dyDescent="0.2">
      <c r="A2" s="2" t="s">
        <v>198</v>
      </c>
      <c r="B2" s="111" t="e">
        <f>C2+D2</f>
        <v>#N/A</v>
      </c>
      <c r="C2" s="112" t="e" cm="1">
        <f t="array" ref="C2">MMULT('LCIA openlca-export'!$B$2:$CV$8,TRANSPOSE('Berechnungsmatrix LCIA'!$B$2:$CV$4))</f>
        <v>#N/A</v>
      </c>
      <c r="D2" s="112"/>
      <c r="E2" s="111"/>
      <c r="F2" s="111" t="e">
        <f>SUM(C2:E2)</f>
        <v>#N/A</v>
      </c>
    </row>
    <row r="3" spans="1:6" ht="17" x14ac:dyDescent="0.2">
      <c r="A3" s="2" t="s">
        <v>199</v>
      </c>
      <c r="B3" s="111">
        <f t="shared" ref="B3:B15" si="0">C3+D3</f>
        <v>0</v>
      </c>
      <c r="C3" s="112"/>
      <c r="D3" s="112"/>
      <c r="E3" s="111"/>
      <c r="F3" s="111">
        <f t="shared" ref="F3:F8" si="1">SUM(C3:E3)</f>
        <v>0</v>
      </c>
    </row>
    <row r="4" spans="1:6" ht="17" x14ac:dyDescent="0.2">
      <c r="A4" s="2" t="s">
        <v>200</v>
      </c>
      <c r="B4" s="111">
        <f t="shared" si="0"/>
        <v>0</v>
      </c>
      <c r="C4" s="112"/>
      <c r="D4" s="112"/>
      <c r="E4" s="111"/>
      <c r="F4" s="111">
        <f t="shared" si="1"/>
        <v>0</v>
      </c>
    </row>
    <row r="5" spans="1:6" ht="17" x14ac:dyDescent="0.2">
      <c r="A5" s="2" t="s">
        <v>201</v>
      </c>
      <c r="B5" s="111">
        <f t="shared" si="0"/>
        <v>0</v>
      </c>
      <c r="C5" s="112"/>
      <c r="D5" s="112"/>
      <c r="E5" s="111"/>
      <c r="F5" s="111">
        <f t="shared" si="1"/>
        <v>0</v>
      </c>
    </row>
    <row r="6" spans="1:6" ht="34" x14ac:dyDescent="0.2">
      <c r="A6" s="2" t="s">
        <v>279</v>
      </c>
      <c r="B6" s="111">
        <f t="shared" si="0"/>
        <v>0</v>
      </c>
      <c r="C6" s="112"/>
      <c r="D6" s="112"/>
      <c r="E6" s="111"/>
      <c r="F6" s="111">
        <f t="shared" si="1"/>
        <v>0</v>
      </c>
    </row>
    <row r="7" spans="1:6" ht="17" x14ac:dyDescent="0.2">
      <c r="A7" s="2" t="s">
        <v>138</v>
      </c>
      <c r="B7" s="111">
        <f t="shared" si="0"/>
        <v>0</v>
      </c>
      <c r="C7" s="112"/>
      <c r="D7" s="112"/>
      <c r="E7" s="111"/>
      <c r="F7" s="111">
        <f t="shared" si="1"/>
        <v>0</v>
      </c>
    </row>
    <row r="8" spans="1:6" ht="17" x14ac:dyDescent="0.2">
      <c r="A8" s="2" t="s">
        <v>140</v>
      </c>
      <c r="B8" s="111">
        <f t="shared" si="0"/>
        <v>0</v>
      </c>
      <c r="C8" s="112"/>
      <c r="D8" s="112"/>
      <c r="E8" s="111"/>
      <c r="F8" s="111">
        <f t="shared" si="1"/>
        <v>0</v>
      </c>
    </row>
    <row r="9" spans="1:6" x14ac:dyDescent="0.2">
      <c r="B9" s="111"/>
      <c r="C9" s="113"/>
      <c r="D9" s="113"/>
    </row>
    <row r="10" spans="1:6" ht="17" x14ac:dyDescent="0.2">
      <c r="A10" s="2" t="s">
        <v>282</v>
      </c>
      <c r="B10" s="111" t="e">
        <f t="shared" si="0"/>
        <v>#N/A</v>
      </c>
      <c r="C10" s="114" t="e">
        <f>-'Faktoren Ressourcenkorrektur'!$B$5*SUMPRODUCT('LCIA Daten manuell'!$B$4:$CV$4,'Berechnungsmatrix LCIA'!$B$6:$CV$6)*HLOOKUP('Auswertung Eingaben'!$G$2,'Faktoren Ressourcenkorrektur'!$A$2:$G$3,2,FALSE)</f>
        <v>#N/A</v>
      </c>
      <c r="D10" s="113">
        <v>0</v>
      </c>
      <c r="E10" s="2">
        <v>0</v>
      </c>
      <c r="F10" s="111" t="e">
        <f>SUM(C10:E10)</f>
        <v>#N/A</v>
      </c>
    </row>
    <row r="11" spans="1:6" ht="34" x14ac:dyDescent="0.2">
      <c r="A11" s="2" t="s">
        <v>280</v>
      </c>
      <c r="B11" s="111" t="e">
        <f t="shared" si="0"/>
        <v>#N/A</v>
      </c>
      <c r="C11" s="112" t="e">
        <f>C6+C10</f>
        <v>#N/A</v>
      </c>
      <c r="D11" s="112">
        <f t="shared" ref="D11:E11" si="2">D6+D10</f>
        <v>0</v>
      </c>
      <c r="E11" s="111">
        <f t="shared" si="2"/>
        <v>0</v>
      </c>
      <c r="F11" s="111" t="e">
        <f>SUM(C11:E11)</f>
        <v>#N/A</v>
      </c>
    </row>
    <row r="12" spans="1:6" x14ac:dyDescent="0.2">
      <c r="B12" s="111"/>
      <c r="C12" s="113"/>
      <c r="D12" s="113"/>
    </row>
    <row r="13" spans="1:6" ht="17" x14ac:dyDescent="0.2">
      <c r="A13" s="2" t="s">
        <v>284</v>
      </c>
      <c r="B13" s="111" t="e">
        <f t="shared" si="0"/>
        <v>#N/A</v>
      </c>
      <c r="C13" s="112" t="e">
        <f>C10/Eingabemaske!D37/'Faktoren Ressourcenkorrektur'!$B$5</f>
        <v>#N/A</v>
      </c>
      <c r="D13" s="113"/>
    </row>
    <row r="14" spans="1:6" x14ac:dyDescent="0.2">
      <c r="B14" s="111"/>
      <c r="C14" s="113"/>
      <c r="D14" s="113"/>
    </row>
    <row r="15" spans="1:6" ht="17" x14ac:dyDescent="0.2">
      <c r="A15" s="2" t="s">
        <v>286</v>
      </c>
      <c r="B15" s="111" t="e">
        <f t="shared" si="0"/>
        <v>#N/A</v>
      </c>
      <c r="C15" s="112" t="e">
        <f>SUMPRODUCT('LCIA Daten manuell'!$B$5:$CV$5,'Berechnungsmatrix LCIA'!$B$2:$CV$2)</f>
        <v>#N/A</v>
      </c>
      <c r="D15" s="112">
        <v>0</v>
      </c>
      <c r="E15" s="111">
        <v>0</v>
      </c>
      <c r="F15" s="111" t="e">
        <f>SUM(C15:E15)</f>
        <v>#N/A</v>
      </c>
    </row>
  </sheetData>
  <pageMargins left="0.7" right="0.7" top="0.78740157499999996" bottom="0.78740157499999996"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E39C-5988-6046-A883-57D714D1C605}">
  <dimension ref="A1:FH10"/>
  <sheetViews>
    <sheetView workbookViewId="0">
      <selection activeCell="G2" sqref="G2"/>
    </sheetView>
  </sheetViews>
  <sheetFormatPr baseColWidth="10" defaultRowHeight="16" x14ac:dyDescent="0.2"/>
  <cols>
    <col min="1" max="1" width="33.33203125" style="5" customWidth="1"/>
    <col min="2" max="9" width="25.5" style="5" customWidth="1"/>
    <col min="10" max="30" width="20.33203125" style="5" customWidth="1"/>
    <col min="31" max="16384" width="10.83203125" style="5"/>
  </cols>
  <sheetData>
    <row r="1" spans="1:164" ht="221" x14ac:dyDescent="0.2">
      <c r="A1" s="5" t="s">
        <v>85</v>
      </c>
      <c r="B1" s="27" t="str">
        <f>'Faktoren Prozessketten'!L2</f>
        <v>sawlog and veneer log, hardwood, sustainable forest management, measured as solid wood under bark, at forest road - CH</v>
      </c>
      <c r="C1" s="27" t="str">
        <f>'Faktoren Prozessketten'!M2</f>
        <v>sawlog and veneer log, hardwood, sustainable forest management, measured as solid wood under bark, at forest road - RER</v>
      </c>
      <c r="D1" s="27" t="str">
        <f>'Faktoren Prozessketten'!N2</f>
        <v>sawlog and veneer log, softwood, sustainable forest management, measured as solid wood under bark, at forest road - CH</v>
      </c>
      <c r="E1" s="27" t="str">
        <f>'Faktoren Prozessketten'!O2</f>
        <v>sawlog and veneer log, softwood, sustainable forest management, measured as solid wood under bark, at forest road - RER</v>
      </c>
      <c r="F1" s="35" t="str">
        <f>'Faktoren Prozessketten'!P2</f>
        <v>transport, freight, lorry 16-32 metric ton, fleet average - RER</v>
      </c>
      <c r="G1" s="35" t="s">
        <v>287</v>
      </c>
      <c r="H1" s="35" t="str">
        <f>'Faktoren Prozessketten'!R2</f>
        <v>transport, freight, rail - RER</v>
      </c>
      <c r="I1" s="35" t="str">
        <f>'Faktoren Prozessketten'!S2</f>
        <v>transport, freight, rail, electricity with shunting - CH</v>
      </c>
      <c r="J1" s="34" t="str">
        <f>'Faktoren Prozessketten'!T2</f>
        <v>sawnwood, beam, softwood, dried (u=10%), planed, at sawmill - CH</v>
      </c>
      <c r="K1" s="34" t="str">
        <f>'Faktoren Prozessketten'!U2</f>
        <v>sawnwood, beam, hardwood, dried (u=20%), planed, at sawmill - RER</v>
      </c>
      <c r="L1" s="34" t="str">
        <f>'Faktoren Prozessketten'!V2</f>
        <v>sawnwood, beam, hardwood, dried (u=20%), planed, at sawmill - CH</v>
      </c>
      <c r="M1" s="34" t="str">
        <f>'Faktoren Prozessketten'!W2</f>
        <v>sawnwood, beam, hardwood, raw, air dried (u=20%), at sawmill - RER</v>
      </c>
      <c r="N1" s="34" t="str">
        <f>'Faktoren Prozessketten'!X2</f>
        <v>sawnwood, beam, hardwood, raw, air dried (u=20%), at sawmill - CH</v>
      </c>
      <c r="O1" s="34" t="str">
        <f>'Faktoren Prozessketten'!Y2</f>
        <v>sawnwood, beam, softwood, raw, kiln dried (u=20%), at sawmill - RER</v>
      </c>
      <c r="P1" s="34" t="str">
        <f>'Faktoren Prozessketten'!Z2</f>
        <v>sawnwood, beam, softwood, raw, kiln dried (u=10%), at sawmill - RER</v>
      </c>
      <c r="Q1" s="34" t="str">
        <f>'Faktoren Prozessketten'!AA2</f>
        <v>sawnwood, beam, hardwood, dried (u=10%), planed, at sawmill - RER</v>
      </c>
      <c r="R1" s="34" t="str">
        <f>'Faktoren Prozessketten'!AB2</f>
        <v>sawnwood, beam, hardwood, dried (u=10%), planed, at sawmill - CH</v>
      </c>
      <c r="S1" s="34" t="str">
        <f>'Faktoren Prozessketten'!AC2</f>
        <v>sawnwood, beam, softwood, dried (u=10%), planed, at sawmill - RER</v>
      </c>
      <c r="T1" s="34" t="str">
        <f>'Faktoren Prozessketten'!AD2</f>
        <v>sawnwood, beam, softwood, raw, air dried (u=20%), at sawmill - RER</v>
      </c>
      <c r="U1" s="34" t="str">
        <f>'Faktoren Prozessketten'!AE2</f>
        <v>sawnwood, beam, softwood, dried (u=20%), planed, at sawmill - RER</v>
      </c>
      <c r="V1" s="34" t="str">
        <f>'Faktoren Prozessketten'!AF2</f>
        <v>sawnwood, beam, softwood, raw, air dried (u=20%), at sawmill - CH</v>
      </c>
      <c r="W1" s="34" t="str">
        <f>'Faktoren Prozessketten'!AG2</f>
        <v>sawnwood, beam, softwood, dried (u=20%), planed, at sawmill - CH</v>
      </c>
      <c r="X1" s="34" t="str">
        <f>'Faktoren Prozessketten'!AH2</f>
        <v>sawnwood, beam, softwood, raw, kiln dried (u=20%), at sawmill - CH</v>
      </c>
      <c r="Y1" s="34" t="str">
        <f>'Faktoren Prozessketten'!AI2</f>
        <v>sawnwood, beam, softwood, raw, kiln dried (u=10%), at sawmill - CH</v>
      </c>
      <c r="Z1" s="34" t="str">
        <f>'Faktoren Prozessketten'!AJ2</f>
        <v>sawnwood, beam, hardwood, raw, kiln dried (u=10%), at sawmill - RER</v>
      </c>
      <c r="AA1" s="34" t="str">
        <f>'Faktoren Prozessketten'!AK2</f>
        <v>sawnwood, beam, hardwood, raw, kiln dried (u=10%), at sawmill - CH</v>
      </c>
      <c r="AB1" s="34" t="str">
        <f>'Faktoren Prozessketten'!AL2</f>
        <v>sawnwood, beam, hardwood, raw, kiln dried (u=20%), at sawmill - RER</v>
      </c>
      <c r="AC1" s="34" t="str">
        <f>'Faktoren Prozessketten'!AM2</f>
        <v>sawnwood, beam, hardwood, raw, kiln dried (u=20%), at sawmill - CH</v>
      </c>
      <c r="AD1" s="34" t="str">
        <f>'Faktoren Prozessketten'!AN2</f>
        <v>sawnwood, board, softwood, dried (u=10%), planed, at sawmill - RER</v>
      </c>
      <c r="AE1" s="34" t="str">
        <f>'Faktoren Prozessketten'!AO2</f>
        <v>sawnwood, board, softwood, raw, air dried (u=20%), at sawmill - CH</v>
      </c>
      <c r="AF1" s="34" t="str">
        <f>'Faktoren Prozessketten'!AP2</f>
        <v>sawnwood, board, softwood, dried (u=10%), planed, at sawmill - CH</v>
      </c>
      <c r="AG1" s="34" t="str">
        <f>'Faktoren Prozessketten'!AQ2</f>
        <v>sawnwood, board, softwood, dried (u=20%), planed, at sawmill - CH</v>
      </c>
      <c r="AH1" s="34" t="str">
        <f>'Faktoren Prozessketten'!AR2</f>
        <v>sawnwood, board, softwood, raw, kiln dried (u=10%), at sawmill - CH</v>
      </c>
      <c r="AI1" s="34" t="str">
        <f>'Faktoren Prozessketten'!AS2</f>
        <v>sawnwood, board, softwood, raw, kiln dried (u=20%), at sawmill - CH</v>
      </c>
      <c r="AJ1" s="34" t="str">
        <f>'Faktoren Prozessketten'!AT2</f>
        <v>sawnwood, board, softwood, raw, dried (u=10%), at sawmill - RER</v>
      </c>
      <c r="AK1" s="34" t="str">
        <f>'Faktoren Prozessketten'!AU2</f>
        <v>sawnwood, board, softwood, raw, air dried (u=20%), at sawmill - RER</v>
      </c>
      <c r="AL1" s="34" t="str">
        <f>'Faktoren Prozessketten'!AV2</f>
        <v>sawnwood, board, softwood, raw, kiln dried (u=20%), at sawmill - RER</v>
      </c>
      <c r="AM1" s="34" t="str">
        <f>'Faktoren Prozessketten'!AW2</f>
        <v>sawnwood, lath, softwood, raw, kiln dried (u=10%), at sawmill - RER</v>
      </c>
      <c r="AN1" s="34" t="str">
        <f>'Faktoren Prozessketten'!AX2</f>
        <v>sawnwood, lath, softwood, raw, kiln dried (u=20%), at sawmill - RER</v>
      </c>
      <c r="AO1" s="34" t="str">
        <f>'Faktoren Prozessketten'!AY2</f>
        <v>sawnwood, lath, softwood, raw, air dried (u=20%), at sawmill - RER</v>
      </c>
      <c r="AP1" s="34" t="str">
        <f>'Faktoren Prozessketten'!AZ2</f>
        <v>sawnwood, lath, softwood, raw, kiln dried (u=10%), at sawmill - CH</v>
      </c>
      <c r="AQ1" s="34" t="str">
        <f>'Faktoren Prozessketten'!BA2</f>
        <v>sawnwood, board, hardwood, dried (u=10%), planed, at sawmill - RER</v>
      </c>
      <c r="AR1" s="34" t="str">
        <f>'Faktoren Prozessketten'!BB2</f>
        <v>sawnwood, board, hardwood, raw, air dried (u=20%), at sawmill - CH</v>
      </c>
      <c r="AS1" s="34" t="str">
        <f>'Faktoren Prozessketten'!BC2</f>
        <v>sawnwood, lath, softwood, raw, kiln dried (u=20%), at sawmill - CH</v>
      </c>
      <c r="AT1" s="34" t="str">
        <f>'Faktoren Prozessketten'!BD2</f>
        <v>sawnwood, board, hardwood, dried (u=10%), planed, at sawmill - CH</v>
      </c>
      <c r="AU1" s="34" t="str">
        <f>'Faktoren Prozessketten'!BE2</f>
        <v>sawnwood, board, hardwood, raw, kiln dried (u=10%), at sawmill - CH</v>
      </c>
      <c r="AV1" s="34" t="str">
        <f>'Faktoren Prozessketten'!BF2</f>
        <v>sawnwood, board, hardwood, raw, air dried (u=20%), at sawmill - RER</v>
      </c>
      <c r="AW1" s="34" t="str">
        <f>'Faktoren Prozessketten'!BG2</f>
        <v>sawnwood, board, hardwood, dried (u=20%), planed, at sawmill - RER</v>
      </c>
      <c r="AX1" s="34" t="str">
        <f>'Faktoren Prozessketten'!BH2</f>
        <v>sawnwood, board, hardwood, dried (u=20%), planed, at sawmill - CH</v>
      </c>
      <c r="AY1" s="34" t="str">
        <f>'Faktoren Prozessketten'!BI2</f>
        <v>sawnwood, board, softwood, dried (u=20%), planed, at sawmill - RER</v>
      </c>
      <c r="AZ1" s="34" t="str">
        <f>'Faktoren Prozessketten'!BJ2</f>
        <v>sawnwood, board, hardwood, raw, kiln dried (u=20%), at sawmill - CH</v>
      </c>
      <c r="BA1" s="34" t="str">
        <f>'Faktoren Prozessketten'!BK2</f>
        <v>sawnwood, board, hardwood, raw, kiln dried (u=10%), at sawmill - RER</v>
      </c>
      <c r="BB1" s="34" t="str">
        <f>'Faktoren Prozessketten'!BL2</f>
        <v>sawnwood, lath, hardwood, dried (u=10%), planed, at sawmill - CH</v>
      </c>
      <c r="BC1" s="34" t="str">
        <f>'Faktoren Prozessketten'!BM2</f>
        <v>sawnwood, lath, hardwood, dried (u=20%), planed, at sawmill - CH</v>
      </c>
      <c r="BD1" s="34" t="str">
        <f>'Faktoren Prozessketten'!BN2</f>
        <v>sawnwood, lath, hardwood, dried (u=10%), planed, at sawmill - RER</v>
      </c>
      <c r="BE1" s="34" t="str">
        <f>'Faktoren Prozessketten'!BO2</f>
        <v>sawnwood, lath, hardwood, raw, air dried (u=20%), at sawmill - RER</v>
      </c>
      <c r="BF1" s="34" t="str">
        <f>'Faktoren Prozessketten'!BP2</f>
        <v>sawnwood, lath, hardwood, raw, kiln dried (u=10%), at sawmill - CH</v>
      </c>
      <c r="BG1" s="34" t="str">
        <f>'Faktoren Prozessketten'!BQ2</f>
        <v>sawnwood, lath, hardwood, dried (u=20%), planed, at sawmill - RER</v>
      </c>
      <c r="BH1" s="34" t="str">
        <f>'Faktoren Prozessketten'!BR2</f>
        <v>sawnwood, lath, hardwood, raw, air dried (u=20%), at sawmill - CH</v>
      </c>
      <c r="BI1" s="34" t="str">
        <f>'Faktoren Prozessketten'!BS2</f>
        <v>sawnwood, lath, hardwood, raw, kiln dried (u=10%), at sawmill - RER</v>
      </c>
      <c r="BJ1" s="34" t="str">
        <f>'Faktoren Prozessketten'!BT2</f>
        <v>sawnwood, lath, hardwood, raw, kiln dried (u=20%), at sawmill - CH</v>
      </c>
      <c r="BK1" s="34" t="str">
        <f>'Faktoren Prozessketten'!BU2</f>
        <v>sawnwood, lath, hardwood, raw, kiln dried (u=20%), at sawmill - RER</v>
      </c>
      <c r="BL1" s="34" t="str">
        <f>'Faktoren Prozessketten'!BV2</f>
        <v>sawnwood, lath, softwood, dried (u=10%), planed, at sawmill - CH</v>
      </c>
      <c r="BM1" s="34" t="str">
        <f>'Faktoren Prozessketten'!BW2</f>
        <v>sawnwood, lath, softwood, dried (u=20%), planed, at sawmill - RER</v>
      </c>
      <c r="BN1" s="34" t="str">
        <f>'Faktoren Prozessketten'!BX2</f>
        <v>sawnwood, lath, softwood, dried (u=10%), planed, at sawmill - RER</v>
      </c>
      <c r="BO1" s="34" t="str">
        <f>'Faktoren Prozessketten'!BY2</f>
        <v>sawnwood, lath, softwood, dried (u=20%), planed, at sawmill - CH</v>
      </c>
      <c r="BP1" s="34" t="str">
        <f>'Faktoren Prozessketten'!BZ2</f>
        <v>sawnwood, lath, softwood, raw, air dried (u=20%), at sawmill - CH</v>
      </c>
      <c r="BQ1" s="34" t="str">
        <f>'Faktoren Prozessketten'!CA2</f>
        <v>sawnwood, board, hardwood, raw, kiln dried (u=20%), at sawmill - RER</v>
      </c>
      <c r="BR1" s="34" t="str">
        <f>'Faktoren Prozessketten'!CB2</f>
        <v>particleboard 18 mm, average glue mix, melamine faced, at regional storage - CH</v>
      </c>
      <c r="BS1" s="34" t="str">
        <f>'Faktoren Prozessketten'!CC2</f>
        <v>fibreboard, soft, from wet &amp; dry processes, at plant - RER</v>
      </c>
      <c r="BT1" s="34" t="str">
        <f>'Faktoren Prozessketten'!CD2</f>
        <v>Tubular particleboard, at plant - RER</v>
      </c>
      <c r="BU1" s="34" t="str">
        <f>'Faktoren Prozessketten'!CE2</f>
        <v>particleboard, average glue mix, uncoated, at plant - RER</v>
      </c>
      <c r="BV1" s="34" t="str">
        <f>'Faktoren Prozessketten'!CF2</f>
        <v>fibreboard soft, at plant (u=7%)</v>
      </c>
      <c r="BW1" s="34" t="str">
        <f>'Faktoren Prozessketten'!CG2</f>
        <v>Glued laminated timber, average glue mix, at plant - CH</v>
      </c>
      <c r="BX1" s="34" t="str">
        <f>'Faktoren Prozessketten'!CH2</f>
        <v>Glued laminated timber, average glue mix, at plant - RER</v>
      </c>
      <c r="BY1" s="34" t="str">
        <f>'Faktoren Prozessketten'!CI2</f>
        <v>Cross-laminted timber, average glue mix, at plant - RER</v>
      </c>
      <c r="BZ1" s="34" t="str">
        <f>'Faktoren Prozessketten'!CJ2</f>
        <v>Plywood, hardwood veneer, UF-bonded, at plant - RER</v>
      </c>
      <c r="CA1" s="34" t="str">
        <f>'Faktoren Prozessketten'!CK2</f>
        <v>plywood, indoor use, at plant - RER</v>
      </c>
      <c r="CB1" s="34" t="str">
        <f>'Faktoren Prozessketten'!CL2</f>
        <v>plywood, outdoor use, at plant - RER</v>
      </c>
      <c r="CC1" s="34" t="str">
        <f>'Faktoren Prozessketten'!CM2</f>
        <v>Three- and five-layered board, at plant - RER</v>
      </c>
      <c r="CD1" s="34" t="str">
        <f>'Faktoren Prozessketten'!CN2</f>
        <v>Glued solid timber, average glue mix, at plant - RER</v>
      </c>
      <c r="CE1" s="34" t="str">
        <f>'Faktoren Prozessketten'!CO2</f>
        <v>Glued solid timber, average glue mix, at plant - CH</v>
      </c>
      <c r="CF1" s="34" t="str">
        <f>'Faktoren Prozessketten'!CP2</f>
        <v>cleft timber, softwood, sustainable forest management, measured as dry mass, at forest road - CH</v>
      </c>
      <c r="CG1" s="34" t="str">
        <f>'Faktoren Prozessketten'!CQ2</f>
        <v>cleft timber, hardwood, sustainable forest management, measured as dry mass, at forest road - CH</v>
      </c>
      <c r="CH1" s="34" t="str">
        <f>'Faktoren Prozessketten'!CR2</f>
        <v>cleft timber, production mix, sustainable forest management, measured as dry mass, at forest road - RER</v>
      </c>
      <c r="CI1" s="34" t="str">
        <f>'Faktoren Prozessketten'!CS2</f>
        <v>cleft timber, production mix, sustainable forest management, measured as dry mass, at forest road - CH</v>
      </c>
      <c r="CJ1" s="34" t="str">
        <f>'Faktoren Prozessketten'!CT2</f>
        <v>wood pellet, measured as dry mass, at plant - RER</v>
      </c>
      <c r="CK1" s="34" t="str">
        <f>'Faktoren Prozessketten'!CU2</f>
        <v>wood chips, hardwood, wet, sustainable forest management, measured as dry mass, at forest road - CH</v>
      </c>
      <c r="CL1" s="34" t="str">
        <f>'Faktoren Prozessketten'!CV2</f>
        <v>wood chips, hardwood, wet, measured as dry mass, at sawmill - RER</v>
      </c>
      <c r="CM1" s="34" t="str">
        <f>'Faktoren Prozessketten'!CW2</f>
        <v>wood chips, hardwood, wet, measured as dry mass, at sawmill - CH</v>
      </c>
      <c r="CN1" s="34" t="str">
        <f>'Faktoren Prozessketten'!CX2</f>
        <v>wood chips, softwood, wet, measured as dry mass, at sawmill - RER</v>
      </c>
      <c r="CO1" s="34" t="str">
        <f>'Faktoren Prozessketten'!CY2</f>
        <v>wood chips, softwood, wet, measured as dry mass, at sawmill - CH</v>
      </c>
      <c r="CP1" s="34" t="str">
        <f>'Faktoren Prozessketten'!CZ2</f>
        <v>wood chips, softwood, wet, sustainable forest management, measured as dry mass, at forest road - CH</v>
      </c>
      <c r="CQ1" s="34" t="str">
        <f>'Faktoren Prozessketten'!DA2</f>
        <v>disposal, 3-layered laminated wood board, 4% binder, as building waste - CH</v>
      </c>
      <c r="CR1" s="34" t="str">
        <f>'Faktoren Prozessketten'!DB2</f>
        <v>disposal, fibreboard soft, as building waste - CH</v>
      </c>
      <c r="CS1" s="34" t="str">
        <f>'Faktoren Prozessketten'!DC2</f>
        <v>disposal, wood particle board, 10% binder, as building waste - CH</v>
      </c>
      <c r="CT1" s="34" t="str">
        <f>'Faktoren Prozessketten'!DD2</f>
        <v>disposal, glued laminated timbre, 2.5% binder, as building waste - CH</v>
      </c>
      <c r="CU1" s="34" t="str">
        <f>'Faktoren Prozessketten'!DE2</f>
        <v>disposal, solid wood, as building waste - CH</v>
      </c>
      <c r="CV1" s="34" t="str">
        <f>'Faktoren Prozessketten'!DF2</f>
        <v>disposal, wood particle board, 10% binder, 3.5% MF resin, as building waste</v>
      </c>
      <c r="CW1" s="34">
        <f>'Faktoren Prozessketten'!DG2</f>
        <v>0</v>
      </c>
      <c r="CX1" s="34">
        <f>'Faktoren Prozessketten'!DH2</f>
        <v>0</v>
      </c>
      <c r="CY1" s="34">
        <f>'Faktoren Prozessketten'!DI2</f>
        <v>0</v>
      </c>
      <c r="CZ1" s="34">
        <f>'Faktoren Prozessketten'!DJ2</f>
        <v>0</v>
      </c>
      <c r="DA1" s="34">
        <f>'Faktoren Prozessketten'!DK2</f>
        <v>0</v>
      </c>
      <c r="DB1" s="34">
        <f>'Faktoren Prozessketten'!DL2</f>
        <v>0</v>
      </c>
      <c r="DC1" s="34">
        <f>'Faktoren Prozessketten'!DM2</f>
        <v>0</v>
      </c>
      <c r="DD1" s="34">
        <f>'Faktoren Prozessketten'!DN2</f>
        <v>0</v>
      </c>
      <c r="DE1" s="34">
        <f>'Faktoren Prozessketten'!DO2</f>
        <v>0</v>
      </c>
      <c r="DF1" s="34">
        <f>'Faktoren Prozessketten'!DP2</f>
        <v>0</v>
      </c>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row>
    <row r="2" spans="1:164" ht="17" x14ac:dyDescent="0.2">
      <c r="A2" s="5" t="s">
        <v>40</v>
      </c>
      <c r="B2" s="5" t="e">
        <f>'Auswertung Eingaben'!$M$2*'Auswertung Eingaben'!$C$4*VLOOKUP('Auswertung Eingaben'!$B$2,'Faktoren Prozessketten'!$E$2:$AM$110,MATCH('Faktoren Prozessketten'!$I$2,'Faktoren Prozessketten'!$E$2:$I$2,0),FALSE)+VLOOKUP('Auswertung Eingaben'!$B$2,'Faktoren Prozessketten'!$E$2:$AM$110,MATCH(B$1,'Faktoren Prozessketten'!$E$2:$AM$2,0),FALSE)</f>
        <v>#N/A</v>
      </c>
      <c r="C2" s="5" t="e">
        <f>'Auswertung Eingaben'!$N$2*'Auswertung Eingaben'!$D$4*VLOOKUP('Auswertung Eingaben'!$B$2,'Faktoren Prozessketten'!$E$2:$AM$110,MATCH('Faktoren Prozessketten'!$I$2,'Faktoren Prozessketten'!$E$2:$I$2,0),FALSE)+VLOOKUP('Auswertung Eingaben'!$B$2,'Faktoren Prozessketten'!$E$2:$AM$110,MATCH(C$1,'Faktoren Prozessketten'!$E$2:$AM$2,0),FALSE)</f>
        <v>#N/A</v>
      </c>
      <c r="D2" s="5" t="e">
        <f>'Auswertung Eingaben'!$O$2*'Auswertung Eingaben'!$C$4*VLOOKUP('Auswertung Eingaben'!$B$2,'Faktoren Prozessketten'!$E$2:$AM$110,MATCH('Faktoren Prozessketten'!$I$2,'Faktoren Prozessketten'!$E$2:$I$2,0),FALSE)+VLOOKUP('Auswertung Eingaben'!$B$2,'Faktoren Prozessketten'!$E$2:$AM$110,MATCH(D$1,'Faktoren Prozessketten'!$E$2:$AM$2,0),FALSE)</f>
        <v>#N/A</v>
      </c>
      <c r="E2" s="5" t="e">
        <f>'Auswertung Eingaben'!$P$2*'Auswertung Eingaben'!$D$4*VLOOKUP('Auswertung Eingaben'!$B$2,'Faktoren Prozessketten'!$E$2:$AM$110,MATCH('Faktoren Prozessketten'!$I$2,'Faktoren Prozessketten'!$E$2:$I$2,0),FALSE)+VLOOKUP('Auswertung Eingaben'!$B$2,'Faktoren Prozessketten'!$E$2:$AM$110,MATCH(E$1,'Faktoren Prozessketten'!$E$2:$AM$2,0),FALSE)</f>
        <v>#N/A</v>
      </c>
      <c r="F2" s="5" t="e">
        <f>'Auswertung Eingaben'!$I$5+VLOOKUP('Auswertung Eingaben'!$B$2,'Faktoren Prozessketten'!$E$2:$AM$110,MATCH(F$1,'Faktoren Prozessketten'!$E$2:$CC$2,0),FALSE)</f>
        <v>#N/A</v>
      </c>
      <c r="G2" s="5" t="e">
        <f>'Auswertung Eingaben'!$H$5+VLOOKUP('Auswertung Eingaben'!$B$2,'Faktoren Prozessketten'!$E$2:$AM$110,MATCH(G$1,'Faktoren Prozessketten'!$E$2:$CC$2,0),FALSE)</f>
        <v>#N/A</v>
      </c>
      <c r="H2" s="5" t="e">
        <f>'Auswertung Eingaben'!$K$5+VLOOKUP('Auswertung Eingaben'!$B$2,'Faktoren Prozessketten'!$E$2:$AM$110,MATCH(H$1,'Faktoren Prozessketten'!$E$2:$CC$2,0),FALSE)</f>
        <v>#N/A</v>
      </c>
      <c r="I2" s="5" t="e">
        <f>'Auswertung Eingaben'!$J$5+VLOOKUP('Auswertung Eingaben'!$B$2,'Faktoren Prozessketten'!$E$2:$AM$110,MATCH(I$1,'Faktoren Prozessketten'!$E$2:$CC$2,0),FALSE)</f>
        <v>#N/A</v>
      </c>
      <c r="J2" s="5" t="e">
        <f>VLOOKUP('Auswertung Eingaben'!$B$2,'Faktoren Prozessketten'!$E$2:$CZ$110,MATCH(J$1,'Faktoren Prozessketten'!$E$2:$CZ$2,0),FALSE)</f>
        <v>#N/A</v>
      </c>
      <c r="K2" s="5" t="e">
        <f>VLOOKUP('Auswertung Eingaben'!$B$2,'Faktoren Prozessketten'!$E$2:$CZ$110,MATCH(K$1,'Faktoren Prozessketten'!$E$2:$CZ$2,0),FALSE)</f>
        <v>#N/A</v>
      </c>
      <c r="L2" s="5" t="e">
        <f>VLOOKUP('Auswertung Eingaben'!$B$2,'Faktoren Prozessketten'!$E$2:$CZ$110,MATCH(L$1,'Faktoren Prozessketten'!$E$2:$CZ$2,0),FALSE)</f>
        <v>#N/A</v>
      </c>
      <c r="M2" s="5" t="e">
        <f>VLOOKUP('Auswertung Eingaben'!$B$2,'Faktoren Prozessketten'!$E$2:$CZ$110,MATCH(M$1,'Faktoren Prozessketten'!$E$2:$CZ$2,0),FALSE)</f>
        <v>#N/A</v>
      </c>
      <c r="N2" s="5" t="e">
        <f>VLOOKUP('Auswertung Eingaben'!$B$2,'Faktoren Prozessketten'!$E$2:$CZ$110,MATCH(N$1,'Faktoren Prozessketten'!$E$2:$CZ$2,0),FALSE)</f>
        <v>#N/A</v>
      </c>
      <c r="O2" s="5" t="e">
        <f>VLOOKUP('Auswertung Eingaben'!$B$2,'Faktoren Prozessketten'!$E$2:$CZ$110,MATCH(O$1,'Faktoren Prozessketten'!$E$2:$CZ$2,0),FALSE)</f>
        <v>#N/A</v>
      </c>
      <c r="P2" s="5" t="e">
        <f>VLOOKUP('Auswertung Eingaben'!$B$2,'Faktoren Prozessketten'!$E$2:$CZ$110,MATCH(P$1,'Faktoren Prozessketten'!$E$2:$CZ$2,0),FALSE)</f>
        <v>#N/A</v>
      </c>
      <c r="Q2" s="5" t="e">
        <f>VLOOKUP('Auswertung Eingaben'!$B$2,'Faktoren Prozessketten'!$E$2:$CZ$110,MATCH(Q$1,'Faktoren Prozessketten'!$E$2:$CZ$2,0),FALSE)</f>
        <v>#N/A</v>
      </c>
      <c r="R2" s="5" t="e">
        <f>VLOOKUP('Auswertung Eingaben'!$B$2,'Faktoren Prozessketten'!$E$2:$CZ$110,MATCH(R$1,'Faktoren Prozessketten'!$E$2:$CZ$2,0),FALSE)</f>
        <v>#N/A</v>
      </c>
      <c r="S2" s="5" t="e">
        <f>VLOOKUP('Auswertung Eingaben'!$B$2,'Faktoren Prozessketten'!$E$2:$CZ$110,MATCH(S$1,'Faktoren Prozessketten'!$E$2:$CZ$2,0),FALSE)</f>
        <v>#N/A</v>
      </c>
      <c r="T2" s="5" t="e">
        <f>VLOOKUP('Auswertung Eingaben'!$B$2,'Faktoren Prozessketten'!$E$2:$CZ$110,MATCH(T$1,'Faktoren Prozessketten'!$E$2:$CZ$2,0),FALSE)</f>
        <v>#N/A</v>
      </c>
      <c r="U2" s="5" t="e">
        <f>VLOOKUP('Auswertung Eingaben'!$B$2,'Faktoren Prozessketten'!$E$2:$CZ$110,MATCH(U$1,'Faktoren Prozessketten'!$E$2:$CZ$2,0),FALSE)</f>
        <v>#N/A</v>
      </c>
      <c r="V2" s="5" t="e">
        <f>VLOOKUP('Auswertung Eingaben'!$B$2,'Faktoren Prozessketten'!$E$2:$CZ$110,MATCH(V$1,'Faktoren Prozessketten'!$E$2:$CZ$2,0),FALSE)</f>
        <v>#N/A</v>
      </c>
      <c r="W2" s="5" t="e">
        <f>VLOOKUP('Auswertung Eingaben'!$B$2,'Faktoren Prozessketten'!$E$2:$CZ$110,MATCH(W$1,'Faktoren Prozessketten'!$E$2:$CZ$2,0),FALSE)</f>
        <v>#N/A</v>
      </c>
      <c r="X2" s="5" t="e">
        <f>VLOOKUP('Auswertung Eingaben'!$B$2,'Faktoren Prozessketten'!$E$2:$CZ$110,MATCH(X$1,'Faktoren Prozessketten'!$E$2:$CZ$2,0),FALSE)</f>
        <v>#N/A</v>
      </c>
      <c r="Y2" s="5" t="e">
        <f>VLOOKUP('Auswertung Eingaben'!$B$2,'Faktoren Prozessketten'!$E$2:$CZ$110,MATCH(Y$1,'Faktoren Prozessketten'!$E$2:$CZ$2,0),FALSE)</f>
        <v>#N/A</v>
      </c>
      <c r="Z2" s="5" t="e">
        <f>VLOOKUP('Auswertung Eingaben'!$B$2,'Faktoren Prozessketten'!$E$2:$CZ$110,MATCH(Z$1,'Faktoren Prozessketten'!$E$2:$CZ$2,0),FALSE)</f>
        <v>#N/A</v>
      </c>
      <c r="AA2" s="5" t="e">
        <f>VLOOKUP('Auswertung Eingaben'!$B$2,'Faktoren Prozessketten'!$E$2:$CZ$110,MATCH(AA$1,'Faktoren Prozessketten'!$E$2:$CZ$2,0),FALSE)</f>
        <v>#N/A</v>
      </c>
      <c r="AB2" s="5" t="e">
        <f>VLOOKUP('Auswertung Eingaben'!$B$2,'Faktoren Prozessketten'!$E$2:$CZ$110,MATCH(AB$1,'Faktoren Prozessketten'!$E$2:$CZ$2,0),FALSE)</f>
        <v>#N/A</v>
      </c>
      <c r="AC2" s="5" t="e">
        <f>VLOOKUP('Auswertung Eingaben'!$B$2,'Faktoren Prozessketten'!$E$2:$CZ$110,MATCH(AC$1,'Faktoren Prozessketten'!$E$2:$CZ$2,0),FALSE)</f>
        <v>#N/A</v>
      </c>
      <c r="AD2" s="5" t="e">
        <f>VLOOKUP('Auswertung Eingaben'!$B$2,'Faktoren Prozessketten'!$E$2:$CZ$110,MATCH(AD$1,'Faktoren Prozessketten'!$E$2:$CZ$2,0),FALSE)</f>
        <v>#N/A</v>
      </c>
      <c r="AE2" s="5" t="e">
        <f>VLOOKUP('Auswertung Eingaben'!$B$2,'Faktoren Prozessketten'!$E$2:$CZ$110,MATCH(AE$1,'Faktoren Prozessketten'!$E$2:$CZ$2,0),FALSE)</f>
        <v>#N/A</v>
      </c>
      <c r="AF2" s="5" t="e">
        <f>VLOOKUP('Auswertung Eingaben'!$B$2,'Faktoren Prozessketten'!$E$2:$CZ$110,MATCH(AF$1,'Faktoren Prozessketten'!$E$2:$CZ$2,0),FALSE)</f>
        <v>#N/A</v>
      </c>
      <c r="AG2" s="5" t="e">
        <f>VLOOKUP('Auswertung Eingaben'!$B$2,'Faktoren Prozessketten'!$E$2:$CZ$110,MATCH(AG$1,'Faktoren Prozessketten'!$E$2:$CZ$2,0),FALSE)</f>
        <v>#N/A</v>
      </c>
      <c r="AH2" s="5" t="e">
        <f>VLOOKUP('Auswertung Eingaben'!$B$2,'Faktoren Prozessketten'!$E$2:$CZ$110,MATCH(AH$1,'Faktoren Prozessketten'!$E$2:$CZ$2,0),FALSE)</f>
        <v>#N/A</v>
      </c>
      <c r="AI2" s="5" t="e">
        <f>VLOOKUP('Auswertung Eingaben'!$B$2,'Faktoren Prozessketten'!$E$2:$CZ$110,MATCH(AI$1,'Faktoren Prozessketten'!$E$2:$CZ$2,0),FALSE)</f>
        <v>#N/A</v>
      </c>
      <c r="AJ2" s="5" t="e">
        <f>VLOOKUP('Auswertung Eingaben'!$B$2,'Faktoren Prozessketten'!$E$2:$CZ$110,MATCH(AJ$1,'Faktoren Prozessketten'!$E$2:$CZ$2,0),FALSE)</f>
        <v>#N/A</v>
      </c>
      <c r="AK2" s="5" t="e">
        <f>VLOOKUP('Auswertung Eingaben'!$B$2,'Faktoren Prozessketten'!$E$2:$CZ$110,MATCH(AK$1,'Faktoren Prozessketten'!$E$2:$CZ$2,0),FALSE)</f>
        <v>#N/A</v>
      </c>
      <c r="AL2" s="5" t="e">
        <f>VLOOKUP('Auswertung Eingaben'!$B$2,'Faktoren Prozessketten'!$E$2:$CZ$110,MATCH(AL$1,'Faktoren Prozessketten'!$E$2:$CZ$2,0),FALSE)</f>
        <v>#N/A</v>
      </c>
      <c r="AM2" s="5" t="e">
        <f>VLOOKUP('Auswertung Eingaben'!$B$2,'Faktoren Prozessketten'!$E$2:$CZ$110,MATCH(AM$1,'Faktoren Prozessketten'!$E$2:$CZ$2,0),FALSE)</f>
        <v>#N/A</v>
      </c>
      <c r="AN2" s="5" t="e">
        <f>VLOOKUP('Auswertung Eingaben'!$B$2,'Faktoren Prozessketten'!$E$2:$CZ$110,MATCH(AN$1,'Faktoren Prozessketten'!$E$2:$CZ$2,0),FALSE)</f>
        <v>#N/A</v>
      </c>
      <c r="AO2" s="5" t="e">
        <f>VLOOKUP('Auswertung Eingaben'!$B$2,'Faktoren Prozessketten'!$E$2:$CZ$110,MATCH(AO$1,'Faktoren Prozessketten'!$E$2:$CZ$2,0),FALSE)</f>
        <v>#N/A</v>
      </c>
      <c r="AP2" s="5" t="e">
        <f>VLOOKUP('Auswertung Eingaben'!$B$2,'Faktoren Prozessketten'!$E$2:$CZ$110,MATCH(AP$1,'Faktoren Prozessketten'!$E$2:$CZ$2,0),FALSE)</f>
        <v>#N/A</v>
      </c>
      <c r="AQ2" s="5" t="e">
        <f>VLOOKUP('Auswertung Eingaben'!$B$2,'Faktoren Prozessketten'!$E$2:$CZ$110,MATCH(AQ$1,'Faktoren Prozessketten'!$E$2:$CZ$2,0),FALSE)</f>
        <v>#N/A</v>
      </c>
      <c r="AR2" s="5" t="e">
        <f>VLOOKUP('Auswertung Eingaben'!$B$2,'Faktoren Prozessketten'!$E$2:$CZ$110,MATCH(AR$1,'Faktoren Prozessketten'!$E$2:$CZ$2,0),FALSE)</f>
        <v>#N/A</v>
      </c>
      <c r="AS2" s="5" t="e">
        <f>VLOOKUP('Auswertung Eingaben'!$B$2,'Faktoren Prozessketten'!$E$2:$CZ$110,MATCH(AS$1,'Faktoren Prozessketten'!$E$2:$CZ$2,0),FALSE)</f>
        <v>#N/A</v>
      </c>
      <c r="AT2" s="5" t="e">
        <f>VLOOKUP('Auswertung Eingaben'!$B$2,'Faktoren Prozessketten'!$E$2:$CZ$110,MATCH(AT$1,'Faktoren Prozessketten'!$E$2:$CZ$2,0),FALSE)</f>
        <v>#N/A</v>
      </c>
      <c r="AU2" s="5" t="e">
        <f>VLOOKUP('Auswertung Eingaben'!$B$2,'Faktoren Prozessketten'!$E$2:$CZ$110,MATCH(AU$1,'Faktoren Prozessketten'!$E$2:$CZ$2,0),FALSE)</f>
        <v>#N/A</v>
      </c>
      <c r="AV2" s="5" t="e">
        <f>VLOOKUP('Auswertung Eingaben'!$B$2,'Faktoren Prozessketten'!$E$2:$CZ$110,MATCH(AV$1,'Faktoren Prozessketten'!$E$2:$CZ$2,0),FALSE)</f>
        <v>#N/A</v>
      </c>
      <c r="AW2" s="5" t="e">
        <f>VLOOKUP('Auswertung Eingaben'!$B$2,'Faktoren Prozessketten'!$E$2:$CZ$110,MATCH(AW$1,'Faktoren Prozessketten'!$E$2:$CZ$2,0),FALSE)</f>
        <v>#N/A</v>
      </c>
      <c r="AX2" s="5" t="e">
        <f>VLOOKUP('Auswertung Eingaben'!$B$2,'Faktoren Prozessketten'!$E$2:$CZ$110,MATCH(AX$1,'Faktoren Prozessketten'!$E$2:$CZ$2,0),FALSE)</f>
        <v>#N/A</v>
      </c>
      <c r="AY2" s="5" t="e">
        <f>VLOOKUP('Auswertung Eingaben'!$B$2,'Faktoren Prozessketten'!$E$2:$CZ$110,MATCH(AY$1,'Faktoren Prozessketten'!$E$2:$CZ$2,0),FALSE)</f>
        <v>#N/A</v>
      </c>
      <c r="AZ2" s="5" t="e">
        <f>VLOOKUP('Auswertung Eingaben'!$B$2,'Faktoren Prozessketten'!$E$2:$CZ$110,MATCH(AZ$1,'Faktoren Prozessketten'!$E$2:$CZ$2,0),FALSE)</f>
        <v>#N/A</v>
      </c>
      <c r="BA2" s="5" t="e">
        <f>VLOOKUP('Auswertung Eingaben'!$B$2,'Faktoren Prozessketten'!$E$2:$CZ$110,MATCH(BA$1,'Faktoren Prozessketten'!$E$2:$CZ$2,0),FALSE)</f>
        <v>#N/A</v>
      </c>
      <c r="BB2" s="5" t="e">
        <f>VLOOKUP('Auswertung Eingaben'!$B$2,'Faktoren Prozessketten'!$E$2:$CZ$110,MATCH(BB$1,'Faktoren Prozessketten'!$E$2:$CZ$2,0),FALSE)</f>
        <v>#N/A</v>
      </c>
      <c r="BC2" s="5" t="e">
        <f>VLOOKUP('Auswertung Eingaben'!$B$2,'Faktoren Prozessketten'!$E$2:$CZ$110,MATCH(BC$1,'Faktoren Prozessketten'!$E$2:$CZ$2,0),FALSE)</f>
        <v>#N/A</v>
      </c>
      <c r="BD2" s="5" t="e">
        <f>VLOOKUP('Auswertung Eingaben'!$B$2,'Faktoren Prozessketten'!$E$2:$CZ$110,MATCH(BD$1,'Faktoren Prozessketten'!$E$2:$CZ$2,0),FALSE)</f>
        <v>#N/A</v>
      </c>
      <c r="BE2" s="5" t="e">
        <f>VLOOKUP('Auswertung Eingaben'!$B$2,'Faktoren Prozessketten'!$E$2:$CZ$110,MATCH(BE$1,'Faktoren Prozessketten'!$E$2:$CZ$2,0),FALSE)</f>
        <v>#N/A</v>
      </c>
      <c r="BF2" s="5" t="e">
        <f>VLOOKUP('Auswertung Eingaben'!$B$2,'Faktoren Prozessketten'!$E$2:$CZ$110,MATCH(BF$1,'Faktoren Prozessketten'!$E$2:$CZ$2,0),FALSE)</f>
        <v>#N/A</v>
      </c>
      <c r="BG2" s="5" t="e">
        <f>VLOOKUP('Auswertung Eingaben'!$B$2,'Faktoren Prozessketten'!$E$2:$CZ$110,MATCH(BG$1,'Faktoren Prozessketten'!$E$2:$CZ$2,0),FALSE)</f>
        <v>#N/A</v>
      </c>
      <c r="BH2" s="5" t="e">
        <f>VLOOKUP('Auswertung Eingaben'!$B$2,'Faktoren Prozessketten'!$E$2:$CZ$110,MATCH(BH$1,'Faktoren Prozessketten'!$E$2:$CZ$2,0),FALSE)</f>
        <v>#N/A</v>
      </c>
      <c r="BI2" s="5" t="e">
        <f>VLOOKUP('Auswertung Eingaben'!$B$2,'Faktoren Prozessketten'!$E$2:$CZ$110,MATCH(BI$1,'Faktoren Prozessketten'!$E$2:$CZ$2,0),FALSE)</f>
        <v>#N/A</v>
      </c>
      <c r="BJ2" s="5" t="e">
        <f>VLOOKUP('Auswertung Eingaben'!$B$2,'Faktoren Prozessketten'!$E$2:$CZ$110,MATCH(BJ$1,'Faktoren Prozessketten'!$E$2:$CZ$2,0),FALSE)</f>
        <v>#N/A</v>
      </c>
      <c r="BK2" s="5" t="e">
        <f>VLOOKUP('Auswertung Eingaben'!$B$2,'Faktoren Prozessketten'!$E$2:$CZ$110,MATCH(BK$1,'Faktoren Prozessketten'!$E$2:$CZ$2,0),FALSE)</f>
        <v>#N/A</v>
      </c>
      <c r="BL2" s="5" t="e">
        <f>VLOOKUP('Auswertung Eingaben'!$B$2,'Faktoren Prozessketten'!$E$2:$CZ$110,MATCH(BL$1,'Faktoren Prozessketten'!$E$2:$CZ$2,0),FALSE)</f>
        <v>#N/A</v>
      </c>
      <c r="BM2" s="5" t="e">
        <f>VLOOKUP('Auswertung Eingaben'!$B$2,'Faktoren Prozessketten'!$E$2:$CZ$110,MATCH(BM$1,'Faktoren Prozessketten'!$E$2:$CZ$2,0),FALSE)</f>
        <v>#N/A</v>
      </c>
      <c r="BN2" s="5" t="e">
        <f>VLOOKUP('Auswertung Eingaben'!$B$2,'Faktoren Prozessketten'!$E$2:$CZ$110,MATCH(BN$1,'Faktoren Prozessketten'!$E$2:$CZ$2,0),FALSE)</f>
        <v>#N/A</v>
      </c>
      <c r="BO2" s="5" t="e">
        <f>VLOOKUP('Auswertung Eingaben'!$B$2,'Faktoren Prozessketten'!$E$2:$CZ$110,MATCH(BO$1,'Faktoren Prozessketten'!$E$2:$CZ$2,0),FALSE)</f>
        <v>#N/A</v>
      </c>
      <c r="BP2" s="5" t="e">
        <f>VLOOKUP('Auswertung Eingaben'!$B$2,'Faktoren Prozessketten'!$E$2:$CZ$110,MATCH(BP$1,'Faktoren Prozessketten'!$E$2:$CZ$2,0),FALSE)</f>
        <v>#N/A</v>
      </c>
      <c r="BQ2" s="5" t="e">
        <f>VLOOKUP('Auswertung Eingaben'!$B$2,'Faktoren Prozessketten'!$E$2:$CZ$110,MATCH(BQ$1,'Faktoren Prozessketten'!$E$2:$CZ$2,0),FALSE)</f>
        <v>#N/A</v>
      </c>
      <c r="BR2" s="5" t="e">
        <f>VLOOKUP('Auswertung Eingaben'!$B$2,'Faktoren Prozessketten'!$E$2:$CZ$110,MATCH(BR$1,'Faktoren Prozessketten'!$E$2:$CZ$2,0),FALSE)</f>
        <v>#N/A</v>
      </c>
      <c r="BS2" s="5" t="e">
        <f>VLOOKUP('Auswertung Eingaben'!$B$2,'Faktoren Prozessketten'!$E$2:$CZ$110,MATCH(BS$1,'Faktoren Prozessketten'!$E$2:$CZ$2,0),FALSE)</f>
        <v>#N/A</v>
      </c>
      <c r="BT2" s="5" t="e">
        <f>VLOOKUP('Auswertung Eingaben'!$B$2,'Faktoren Prozessketten'!$E$2:$CZ$110,MATCH(BT$1,'Faktoren Prozessketten'!$E$2:$CZ$2,0),FALSE)</f>
        <v>#N/A</v>
      </c>
      <c r="BU2" s="5" t="e">
        <f>VLOOKUP('Auswertung Eingaben'!$B$2,'Faktoren Prozessketten'!$E$2:$CZ$110,MATCH(BU$1,'Faktoren Prozessketten'!$E$2:$CZ$2,0),FALSE)</f>
        <v>#N/A</v>
      </c>
      <c r="BV2" s="5" t="e">
        <f>VLOOKUP('Auswertung Eingaben'!$B$2,'Faktoren Prozessketten'!$E$2:$CZ$110,MATCH(BV$1,'Faktoren Prozessketten'!$E$2:$CZ$2,0),FALSE)</f>
        <v>#N/A</v>
      </c>
      <c r="BW2" s="5" t="e">
        <f>VLOOKUP('Auswertung Eingaben'!$B$2,'Faktoren Prozessketten'!$E$2:$CZ$110,MATCH(BW$1,'Faktoren Prozessketten'!$E$2:$CZ$2,0),FALSE)</f>
        <v>#N/A</v>
      </c>
      <c r="BX2" s="5" t="e">
        <f>VLOOKUP('Auswertung Eingaben'!$B$2,'Faktoren Prozessketten'!$E$2:$CZ$110,MATCH(BX$1,'Faktoren Prozessketten'!$E$2:$CZ$2,0),FALSE)</f>
        <v>#N/A</v>
      </c>
      <c r="BY2" s="5" t="e">
        <f>VLOOKUP('Auswertung Eingaben'!$B$2,'Faktoren Prozessketten'!$E$2:$CZ$110,MATCH(BY$1,'Faktoren Prozessketten'!$E$2:$CZ$2,0),FALSE)</f>
        <v>#N/A</v>
      </c>
      <c r="BZ2" s="5" t="e">
        <f>VLOOKUP('Auswertung Eingaben'!$B$2,'Faktoren Prozessketten'!$E$2:$CZ$110,MATCH(BZ$1,'Faktoren Prozessketten'!$E$2:$CZ$2,0),FALSE)</f>
        <v>#N/A</v>
      </c>
      <c r="CA2" s="5" t="e">
        <f>VLOOKUP('Auswertung Eingaben'!$B$2,'Faktoren Prozessketten'!$E$2:$CZ$110,MATCH(CA$1,'Faktoren Prozessketten'!$E$2:$CZ$2,0),FALSE)</f>
        <v>#N/A</v>
      </c>
      <c r="CB2" s="5" t="e">
        <f>VLOOKUP('Auswertung Eingaben'!$B$2,'Faktoren Prozessketten'!$E$2:$CZ$110,MATCH(CB$1,'Faktoren Prozessketten'!$E$2:$CZ$2,0),FALSE)</f>
        <v>#N/A</v>
      </c>
      <c r="CC2" s="5" t="e">
        <f>VLOOKUP('Auswertung Eingaben'!$B$2,'Faktoren Prozessketten'!$E$2:$CZ$110,MATCH(CC$1,'Faktoren Prozessketten'!$E$2:$CZ$2,0),FALSE)</f>
        <v>#N/A</v>
      </c>
      <c r="CD2" s="5" t="e">
        <f>VLOOKUP('Auswertung Eingaben'!$B$2,'Faktoren Prozessketten'!$E$2:$CZ$110,MATCH(CD$1,'Faktoren Prozessketten'!$E$2:$CZ$2,0),FALSE)</f>
        <v>#N/A</v>
      </c>
      <c r="CE2" s="5" t="e">
        <f>VLOOKUP('Auswertung Eingaben'!$B$2,'Faktoren Prozessketten'!$E$2:$CZ$110,MATCH(CE$1,'Faktoren Prozessketten'!$E$2:$CZ$2,0),FALSE)</f>
        <v>#N/A</v>
      </c>
      <c r="CF2" s="5" t="e">
        <f>VLOOKUP('Auswertung Eingaben'!$B$2,'Faktoren Prozessketten'!$E$2:$CZ$110,MATCH(CF$1,'Faktoren Prozessketten'!$E$2:$CZ$2,0),FALSE)</f>
        <v>#N/A</v>
      </c>
      <c r="CG2" s="5" t="e">
        <f>VLOOKUP('Auswertung Eingaben'!$B$2,'Faktoren Prozessketten'!$E$2:$CZ$110,MATCH(CG$1,'Faktoren Prozessketten'!$E$2:$CZ$2,0),FALSE)</f>
        <v>#N/A</v>
      </c>
      <c r="CH2" s="5" t="e">
        <f>VLOOKUP('Auswertung Eingaben'!$B$2,'Faktoren Prozessketten'!$E$2:$CZ$110,MATCH(CH$1,'Faktoren Prozessketten'!$E$2:$CZ$2,0),FALSE)</f>
        <v>#N/A</v>
      </c>
      <c r="CI2" s="5" t="e">
        <f>VLOOKUP('Auswertung Eingaben'!$B$2,'Faktoren Prozessketten'!$E$2:$CZ$110,MATCH(CI$1,'Faktoren Prozessketten'!$E$2:$CZ$2,0),FALSE)</f>
        <v>#N/A</v>
      </c>
      <c r="CJ2" s="5" t="e">
        <f>VLOOKUP('Auswertung Eingaben'!$B$2,'Faktoren Prozessketten'!$E$2:$CZ$110,MATCH(CJ$1,'Faktoren Prozessketten'!$E$2:$CZ$2,0),FALSE)</f>
        <v>#N/A</v>
      </c>
      <c r="CK2" s="5" t="e">
        <f>VLOOKUP('Auswertung Eingaben'!$B$2,'Faktoren Prozessketten'!$E$2:$CZ$110,MATCH(CK$1,'Faktoren Prozessketten'!$E$2:$CZ$2,0),FALSE)</f>
        <v>#N/A</v>
      </c>
      <c r="CL2" s="5" t="e">
        <f>VLOOKUP('Auswertung Eingaben'!$B$2,'Faktoren Prozessketten'!$E$2:$CZ$110,MATCH(CL$1,'Faktoren Prozessketten'!$E$2:$CZ$2,0),FALSE)</f>
        <v>#N/A</v>
      </c>
      <c r="CM2" s="5" t="e">
        <f>VLOOKUP('Auswertung Eingaben'!$B$2,'Faktoren Prozessketten'!$E$2:$CZ$110,MATCH(CM$1,'Faktoren Prozessketten'!$E$2:$CZ$2,0),FALSE)</f>
        <v>#N/A</v>
      </c>
      <c r="CN2" s="5" t="e">
        <f>VLOOKUP('Auswertung Eingaben'!$B$2,'Faktoren Prozessketten'!$E$2:$CZ$110,MATCH(CN$1,'Faktoren Prozessketten'!$E$2:$CZ$2,0),FALSE)</f>
        <v>#N/A</v>
      </c>
      <c r="CO2" s="5" t="e">
        <f>VLOOKUP('Auswertung Eingaben'!$B$2,'Faktoren Prozessketten'!$E$2:$CZ$110,MATCH(CO$1,'Faktoren Prozessketten'!$E$2:$CZ$2,0),FALSE)</f>
        <v>#N/A</v>
      </c>
      <c r="CP2" s="5" t="e">
        <f>VLOOKUP('Auswertung Eingaben'!$B$2,'Faktoren Prozessketten'!$E$2:$CZ$110,MATCH(CP$1,'Faktoren Prozessketten'!$E$2:$CZ$2,0),FALSE)</f>
        <v>#N/A</v>
      </c>
      <c r="CQ2" s="58">
        <v>0</v>
      </c>
      <c r="CR2" s="58">
        <v>0</v>
      </c>
      <c r="CS2" s="58">
        <v>0</v>
      </c>
      <c r="CT2" s="58">
        <v>0</v>
      </c>
      <c r="CU2" s="58">
        <v>0</v>
      </c>
      <c r="CV2" s="58">
        <v>0</v>
      </c>
      <c r="CW2" s="58">
        <v>0</v>
      </c>
      <c r="CX2" s="58">
        <v>0</v>
      </c>
      <c r="CY2" s="58">
        <v>0</v>
      </c>
      <c r="CZ2" s="58">
        <v>0</v>
      </c>
      <c r="DA2" s="58">
        <v>0</v>
      </c>
      <c r="DB2" s="58">
        <v>0</v>
      </c>
      <c r="DC2" s="58">
        <v>0</v>
      </c>
      <c r="DD2" s="58">
        <v>0</v>
      </c>
      <c r="DE2" s="58">
        <v>0</v>
      </c>
      <c r="DF2" s="58">
        <v>0</v>
      </c>
    </row>
    <row r="3" spans="1:164" ht="17" x14ac:dyDescent="0.2">
      <c r="A3" s="5" t="s">
        <v>71</v>
      </c>
      <c r="B3" s="5">
        <v>0</v>
      </c>
      <c r="C3" s="5">
        <v>0</v>
      </c>
      <c r="D3" s="5">
        <v>0</v>
      </c>
      <c r="E3" s="5">
        <v>0</v>
      </c>
      <c r="F3" s="5" t="e">
        <f>'Auswertung Eingaben'!$I$4</f>
        <v>#N/A</v>
      </c>
      <c r="G3" s="5" t="e">
        <f>'Auswertung Eingaben'!$H4</f>
        <v>#N/A</v>
      </c>
      <c r="H3" s="5" t="e">
        <f>'Auswertung Eingaben'!$K4</f>
        <v>#N/A</v>
      </c>
      <c r="I3" s="5" t="e">
        <f>'Auswertung Eingaben'!$J4</f>
        <v>#N/A</v>
      </c>
      <c r="J3" s="5">
        <v>0</v>
      </c>
      <c r="K3" s="5">
        <v>0</v>
      </c>
      <c r="L3" s="5">
        <v>0</v>
      </c>
      <c r="M3" s="5">
        <v>0</v>
      </c>
      <c r="N3" s="5">
        <v>0</v>
      </c>
      <c r="O3" s="5">
        <v>0</v>
      </c>
      <c r="P3" s="5">
        <v>0</v>
      </c>
      <c r="Q3" s="5">
        <v>0</v>
      </c>
      <c r="R3" s="5">
        <v>0</v>
      </c>
      <c r="S3" s="5">
        <v>0</v>
      </c>
      <c r="T3" s="5">
        <v>0</v>
      </c>
      <c r="U3" s="5">
        <v>0</v>
      </c>
      <c r="V3" s="5">
        <v>0</v>
      </c>
      <c r="W3" s="5">
        <v>0</v>
      </c>
      <c r="X3" s="5">
        <v>0</v>
      </c>
      <c r="Y3" s="5">
        <v>0</v>
      </c>
      <c r="Z3" s="5">
        <v>0</v>
      </c>
      <c r="AA3" s="5">
        <v>0</v>
      </c>
      <c r="AB3" s="5">
        <v>0</v>
      </c>
      <c r="AC3" s="5">
        <v>0</v>
      </c>
      <c r="AD3" s="5">
        <v>0</v>
      </c>
      <c r="AE3" s="5">
        <v>0</v>
      </c>
      <c r="AF3" s="5">
        <v>0</v>
      </c>
      <c r="AG3" s="5">
        <v>0</v>
      </c>
      <c r="AH3" s="5">
        <v>0</v>
      </c>
      <c r="AI3" s="5">
        <v>0</v>
      </c>
      <c r="AJ3" s="5">
        <v>0</v>
      </c>
      <c r="AK3" s="5">
        <v>0</v>
      </c>
      <c r="AL3" s="5">
        <v>0</v>
      </c>
      <c r="AM3" s="5">
        <v>0</v>
      </c>
      <c r="AN3" s="5">
        <v>0</v>
      </c>
      <c r="AO3" s="5">
        <v>0</v>
      </c>
      <c r="AP3" s="5">
        <v>0</v>
      </c>
      <c r="AQ3" s="5">
        <v>0</v>
      </c>
      <c r="AR3" s="5">
        <v>0</v>
      </c>
      <c r="AS3" s="5">
        <v>0</v>
      </c>
      <c r="AT3" s="5">
        <v>0</v>
      </c>
      <c r="AU3" s="5">
        <v>0</v>
      </c>
      <c r="AV3" s="5">
        <v>0</v>
      </c>
      <c r="AW3" s="5">
        <v>0</v>
      </c>
      <c r="AX3" s="5">
        <v>0</v>
      </c>
      <c r="AY3" s="5">
        <v>0</v>
      </c>
      <c r="AZ3" s="5">
        <v>0</v>
      </c>
      <c r="BA3" s="5">
        <v>0</v>
      </c>
      <c r="BB3" s="5">
        <v>0</v>
      </c>
      <c r="BC3" s="5">
        <v>0</v>
      </c>
      <c r="BD3" s="5">
        <v>0</v>
      </c>
      <c r="BE3" s="5">
        <v>0</v>
      </c>
      <c r="BF3" s="5">
        <v>0</v>
      </c>
      <c r="BG3" s="5">
        <v>0</v>
      </c>
      <c r="BH3" s="5">
        <v>0</v>
      </c>
      <c r="BI3" s="5">
        <v>0</v>
      </c>
      <c r="BJ3" s="5">
        <v>0</v>
      </c>
      <c r="BK3" s="5">
        <v>0</v>
      </c>
      <c r="BL3" s="5">
        <v>0</v>
      </c>
      <c r="BM3" s="5">
        <v>0</v>
      </c>
      <c r="BN3" s="5">
        <v>0</v>
      </c>
      <c r="BO3" s="5">
        <v>0</v>
      </c>
      <c r="BP3" s="5">
        <v>0</v>
      </c>
      <c r="BQ3" s="5">
        <v>0</v>
      </c>
      <c r="BR3" s="5">
        <v>0</v>
      </c>
      <c r="BS3" s="5">
        <v>0</v>
      </c>
      <c r="BT3" s="5">
        <v>0</v>
      </c>
      <c r="BU3" s="5">
        <v>0</v>
      </c>
      <c r="BV3" s="5">
        <v>0</v>
      </c>
      <c r="BW3" s="5">
        <v>0</v>
      </c>
      <c r="BX3" s="5">
        <v>0</v>
      </c>
      <c r="BY3" s="5">
        <v>0</v>
      </c>
      <c r="BZ3" s="5">
        <v>0</v>
      </c>
      <c r="CA3" s="5">
        <v>0</v>
      </c>
      <c r="CB3" s="5">
        <v>0</v>
      </c>
      <c r="CC3" s="5">
        <v>0</v>
      </c>
      <c r="CD3" s="5">
        <v>0</v>
      </c>
      <c r="CE3" s="5">
        <v>0</v>
      </c>
      <c r="CF3" s="5">
        <v>0</v>
      </c>
      <c r="CG3" s="5">
        <v>0</v>
      </c>
      <c r="CH3" s="5">
        <v>0</v>
      </c>
      <c r="CI3" s="5">
        <v>0</v>
      </c>
      <c r="CJ3" s="5">
        <v>0</v>
      </c>
      <c r="CK3" s="5">
        <v>0</v>
      </c>
      <c r="CL3" s="5">
        <v>0</v>
      </c>
      <c r="CM3" s="5">
        <v>0</v>
      </c>
      <c r="CN3" s="5">
        <v>0</v>
      </c>
      <c r="CO3" s="5">
        <v>0</v>
      </c>
      <c r="CP3" s="5">
        <v>0</v>
      </c>
      <c r="CQ3" s="5">
        <v>0</v>
      </c>
      <c r="CR3" s="5">
        <v>0</v>
      </c>
      <c r="CS3" s="5">
        <v>0</v>
      </c>
      <c r="CT3" s="5">
        <v>0</v>
      </c>
      <c r="CU3" s="5">
        <v>0</v>
      </c>
      <c r="CV3" s="5">
        <v>0</v>
      </c>
      <c r="CW3" s="5">
        <v>0</v>
      </c>
      <c r="CX3" s="5">
        <v>0</v>
      </c>
      <c r="CY3" s="5">
        <v>0</v>
      </c>
      <c r="CZ3" s="5">
        <v>0</v>
      </c>
      <c r="DA3" s="5">
        <v>0</v>
      </c>
      <c r="DB3" s="5">
        <v>0</v>
      </c>
      <c r="DC3" s="5">
        <v>0</v>
      </c>
      <c r="DD3" s="5">
        <v>0</v>
      </c>
      <c r="DE3" s="5">
        <v>0</v>
      </c>
      <c r="DF3" s="5">
        <v>0</v>
      </c>
    </row>
    <row r="4" spans="1:164" ht="17" x14ac:dyDescent="0.2">
      <c r="A4" s="5" t="s">
        <v>41</v>
      </c>
      <c r="B4" s="5">
        <v>0</v>
      </c>
      <c r="C4" s="5">
        <v>0</v>
      </c>
      <c r="D4" s="5">
        <v>0</v>
      </c>
      <c r="E4" s="5">
        <v>0</v>
      </c>
      <c r="F4" s="5">
        <v>0</v>
      </c>
      <c r="G4" s="5">
        <v>0</v>
      </c>
      <c r="H4" s="5">
        <v>0</v>
      </c>
      <c r="I4" s="5">
        <v>0</v>
      </c>
      <c r="J4" s="5">
        <v>0</v>
      </c>
      <c r="K4" s="5">
        <v>0</v>
      </c>
      <c r="L4" s="5">
        <v>0</v>
      </c>
      <c r="M4" s="5">
        <v>0</v>
      </c>
      <c r="N4" s="5">
        <v>0</v>
      </c>
      <c r="O4" s="5">
        <v>0</v>
      </c>
      <c r="P4" s="5">
        <v>0</v>
      </c>
      <c r="Q4" s="5">
        <v>0</v>
      </c>
      <c r="R4" s="5">
        <v>0</v>
      </c>
      <c r="S4" s="5">
        <v>0</v>
      </c>
      <c r="T4" s="5">
        <v>0</v>
      </c>
      <c r="U4" s="5">
        <v>0</v>
      </c>
      <c r="V4" s="5">
        <v>0</v>
      </c>
      <c r="W4" s="5">
        <v>0</v>
      </c>
      <c r="X4" s="5">
        <v>0</v>
      </c>
      <c r="Y4" s="5">
        <v>0</v>
      </c>
      <c r="Z4" s="5">
        <v>0</v>
      </c>
      <c r="AA4" s="5">
        <v>0</v>
      </c>
      <c r="AB4" s="5">
        <v>0</v>
      </c>
      <c r="AC4" s="5">
        <v>0</v>
      </c>
      <c r="AD4" s="5">
        <v>0</v>
      </c>
      <c r="AE4" s="5">
        <v>0</v>
      </c>
      <c r="AF4" s="5">
        <v>0</v>
      </c>
      <c r="AG4" s="5">
        <v>0</v>
      </c>
      <c r="AH4" s="5">
        <v>0</v>
      </c>
      <c r="AI4" s="5">
        <v>0</v>
      </c>
      <c r="AJ4" s="5">
        <v>0</v>
      </c>
      <c r="AK4" s="5">
        <v>0</v>
      </c>
      <c r="AL4" s="5">
        <v>0</v>
      </c>
      <c r="AM4" s="5">
        <v>0</v>
      </c>
      <c r="AN4" s="5">
        <v>0</v>
      </c>
      <c r="AO4" s="5">
        <v>0</v>
      </c>
      <c r="AP4" s="5">
        <v>0</v>
      </c>
      <c r="AQ4" s="5">
        <v>0</v>
      </c>
      <c r="AR4" s="5">
        <v>0</v>
      </c>
      <c r="AS4" s="5">
        <v>0</v>
      </c>
      <c r="AT4" s="5">
        <v>0</v>
      </c>
      <c r="AU4" s="5">
        <v>0</v>
      </c>
      <c r="AV4" s="5">
        <v>0</v>
      </c>
      <c r="AW4" s="5">
        <v>0</v>
      </c>
      <c r="AX4" s="5">
        <v>0</v>
      </c>
      <c r="AY4" s="5">
        <v>0</v>
      </c>
      <c r="AZ4" s="5">
        <v>0</v>
      </c>
      <c r="BA4" s="5">
        <v>0</v>
      </c>
      <c r="BB4" s="5">
        <v>0</v>
      </c>
      <c r="BC4" s="5">
        <v>0</v>
      </c>
      <c r="BD4" s="5">
        <v>0</v>
      </c>
      <c r="BE4" s="5">
        <v>0</v>
      </c>
      <c r="BF4" s="5">
        <v>0</v>
      </c>
      <c r="BG4" s="5">
        <v>0</v>
      </c>
      <c r="BH4" s="5">
        <v>0</v>
      </c>
      <c r="BI4" s="5">
        <v>0</v>
      </c>
      <c r="BJ4" s="5">
        <v>0</v>
      </c>
      <c r="BK4" s="5">
        <v>0</v>
      </c>
      <c r="BL4" s="5">
        <v>0</v>
      </c>
      <c r="BM4" s="5">
        <v>0</v>
      </c>
      <c r="BN4" s="5">
        <v>0</v>
      </c>
      <c r="BO4" s="5">
        <v>0</v>
      </c>
      <c r="BP4" s="5">
        <v>0</v>
      </c>
      <c r="BQ4" s="5">
        <v>0</v>
      </c>
      <c r="BR4" s="5">
        <v>0</v>
      </c>
      <c r="BS4" s="5">
        <v>0</v>
      </c>
      <c r="BT4" s="5">
        <v>0</v>
      </c>
      <c r="BU4" s="5">
        <v>0</v>
      </c>
      <c r="BV4" s="5">
        <v>0</v>
      </c>
      <c r="BW4" s="5">
        <v>0</v>
      </c>
      <c r="BX4" s="5">
        <v>0</v>
      </c>
      <c r="BY4" s="5">
        <v>0</v>
      </c>
      <c r="BZ4" s="5">
        <v>0</v>
      </c>
      <c r="CA4" s="5">
        <v>0</v>
      </c>
      <c r="CB4" s="5">
        <v>0</v>
      </c>
      <c r="CC4" s="5">
        <v>0</v>
      </c>
      <c r="CD4" s="5">
        <v>0</v>
      </c>
      <c r="CE4" s="5">
        <v>0</v>
      </c>
      <c r="CF4" s="5">
        <v>0</v>
      </c>
      <c r="CG4" s="5">
        <v>0</v>
      </c>
      <c r="CH4" s="5">
        <v>0</v>
      </c>
      <c r="CI4" s="5">
        <v>0</v>
      </c>
      <c r="CJ4" s="5">
        <v>0</v>
      </c>
      <c r="CK4" s="5">
        <v>0</v>
      </c>
      <c r="CL4" s="5">
        <v>0</v>
      </c>
      <c r="CM4" s="5">
        <v>0</v>
      </c>
      <c r="CN4" s="5">
        <v>0</v>
      </c>
      <c r="CO4" s="5">
        <v>0</v>
      </c>
      <c r="CP4" s="5">
        <v>0</v>
      </c>
      <c r="CQ4" s="59" t="e">
        <f>VLOOKUP('Auswertung Eingaben'!$B$2,'Faktoren Prozessketten'!$E$2:$DF$110,MATCH(CQ$1,'Faktoren Prozessketten'!$E$2:$DF$2,0),FALSE)</f>
        <v>#N/A</v>
      </c>
      <c r="CR4" s="59" t="e">
        <f>VLOOKUP('Auswertung Eingaben'!$B$2,'Faktoren Prozessketten'!$E$2:$DF$110,MATCH(CR$1,'Faktoren Prozessketten'!$E$2:$DF$2,0),FALSE)</f>
        <v>#N/A</v>
      </c>
      <c r="CS4" s="59" t="e">
        <f>VLOOKUP('Auswertung Eingaben'!$B$2,'Faktoren Prozessketten'!$E$2:$DF$110,MATCH(CS$1,'Faktoren Prozessketten'!$E$2:$DF$2,0),FALSE)</f>
        <v>#N/A</v>
      </c>
      <c r="CT4" s="59" t="e">
        <f>VLOOKUP('Auswertung Eingaben'!$B$2,'Faktoren Prozessketten'!$E$2:$DF$110,MATCH(CT$1,'Faktoren Prozessketten'!$E$2:$DF$2,0),FALSE)</f>
        <v>#N/A</v>
      </c>
      <c r="CU4" s="59" t="e">
        <f>VLOOKUP('Auswertung Eingaben'!$B$2,'Faktoren Prozessketten'!$E$2:$DF$110,MATCH(CU$1,'Faktoren Prozessketten'!$E$2:$DF$2,0),FALSE)</f>
        <v>#N/A</v>
      </c>
      <c r="CV4" s="59" t="e">
        <f>VLOOKUP('Auswertung Eingaben'!$B$2,'Faktoren Prozessketten'!$E$2:$DF$110,MATCH(CV$1,'Faktoren Prozessketten'!$E$2:$DF$2,0),FALSE)</f>
        <v>#N/A</v>
      </c>
      <c r="CW4" s="59" t="e">
        <f>VLOOKUP('Auswertung Eingaben'!$B$2,'Faktoren Prozessketten'!$E$2:$CH$110,MATCH(CW$1,'Faktoren Prozessketten'!$E$2:$CH$2,0),FALSE)</f>
        <v>#N/A</v>
      </c>
      <c r="CX4" s="59" t="e">
        <f>VLOOKUP('Auswertung Eingaben'!$B$2,'Faktoren Prozessketten'!$E$2:$CH$110,MATCH(CX$1,'Faktoren Prozessketten'!$E$2:$CH$2,0),FALSE)</f>
        <v>#N/A</v>
      </c>
      <c r="CY4" s="59" t="e">
        <f>VLOOKUP('Auswertung Eingaben'!$B$2,'Faktoren Prozessketten'!$E$2:$CH$110,MATCH(CY$1,'Faktoren Prozessketten'!$E$2:$CH$2,0),FALSE)</f>
        <v>#N/A</v>
      </c>
      <c r="CZ4" s="59" t="e">
        <f>VLOOKUP('Auswertung Eingaben'!$B$2,'Faktoren Prozessketten'!$E$2:$CH$110,MATCH(CZ$1,'Faktoren Prozessketten'!$E$2:$CH$2,0),FALSE)</f>
        <v>#N/A</v>
      </c>
      <c r="DA4" s="59" t="e">
        <f>VLOOKUP('Auswertung Eingaben'!$B$2,'Faktoren Prozessketten'!$E$2:$CH$110,MATCH(DA$1,'Faktoren Prozessketten'!$E$2:$CH$2,0),FALSE)</f>
        <v>#N/A</v>
      </c>
      <c r="DB4" s="59" t="e">
        <f>VLOOKUP('Auswertung Eingaben'!$B$2,'Faktoren Prozessketten'!$E$2:$CH$110,MATCH(DB$1,'Faktoren Prozessketten'!$E$2:$CH$2,0),FALSE)</f>
        <v>#N/A</v>
      </c>
      <c r="DC4" s="59" t="e">
        <f>VLOOKUP('Auswertung Eingaben'!$B$2,'Faktoren Prozessketten'!$E$2:$CH$110,MATCH(DC$1,'Faktoren Prozessketten'!$E$2:$CH$2,0),FALSE)</f>
        <v>#N/A</v>
      </c>
      <c r="DD4" s="59" t="e">
        <f>VLOOKUP('Auswertung Eingaben'!$B$2,'Faktoren Prozessketten'!$E$2:$CH$110,MATCH(DD$1,'Faktoren Prozessketten'!$E$2:$CH$2,0),FALSE)</f>
        <v>#N/A</v>
      </c>
      <c r="DE4" s="59" t="e">
        <f>VLOOKUP('Auswertung Eingaben'!$B$2,'Faktoren Prozessketten'!$E$2:$CH$110,MATCH(DE$1,'Faktoren Prozessketten'!$E$2:$CH$2,0),FALSE)</f>
        <v>#N/A</v>
      </c>
      <c r="DF4" s="59" t="e">
        <f>VLOOKUP('Auswertung Eingaben'!$B$2,'Faktoren Prozessketten'!$E$2:$CH$110,MATCH(DF$1,'Faktoren Prozessketten'!$E$2:$CH$2,0),FALSE)</f>
        <v>#N/A</v>
      </c>
    </row>
    <row r="6" spans="1:164" ht="17" x14ac:dyDescent="0.2">
      <c r="A6" s="5" t="s">
        <v>281</v>
      </c>
      <c r="B6" s="58" t="e">
        <f>-VLOOKUP('Auswertung Eingaben'!$B$2,'Faktoren Prozessketten'!$E$2:$AM$110,MATCH(B$1,'Faktoren Prozessketten'!$E$2:$O$2,0),FALSE)/VLOOKUP('Auswertung Eingaben'!$B$2,'Faktoren Prozessketten'!$E$2:$AM$110,MATCH('Faktoren Prozessketten'!$I$2,'Faktoren Prozessketten'!$E$2:$O$2,0),FALSE)+B$2</f>
        <v>#N/A</v>
      </c>
      <c r="C6" s="58" t="e">
        <f>-VLOOKUP('Auswertung Eingaben'!$B$2,'Faktoren Prozessketten'!$E$2:$AM$110,MATCH(C$1,'Faktoren Prozessketten'!$E$2:$O$2,0),FALSE)/VLOOKUP('Auswertung Eingaben'!$B$2,'Faktoren Prozessketten'!$E$2:$AM$110,MATCH('Faktoren Prozessketten'!$I$2,'Faktoren Prozessketten'!$E$2:$O$2,0),FALSE)+C$2</f>
        <v>#N/A</v>
      </c>
      <c r="D6" s="58" t="e">
        <f>-VLOOKUP('Auswertung Eingaben'!$B$2,'Faktoren Prozessketten'!$E$2:$AM$110,MATCH(D$1,'Faktoren Prozessketten'!$E$2:$O$2,0),FALSE)/VLOOKUP('Auswertung Eingaben'!$B$2,'Faktoren Prozessketten'!$E$2:$AM$110,MATCH('Faktoren Prozessketten'!$I$2,'Faktoren Prozessketten'!$E$2:$O$2,0),FALSE)+D$2</f>
        <v>#N/A</v>
      </c>
      <c r="E6" s="58" t="e">
        <f>-VLOOKUP('Auswertung Eingaben'!$B$2,'Faktoren Prozessketten'!$E$2:$AM$110,MATCH(E$1,'Faktoren Prozessketten'!$E$2:$O$2,0),FALSE)/VLOOKUP('Auswertung Eingaben'!$B$2,'Faktoren Prozessketten'!$E$2:$AM$110,MATCH('Faktoren Prozessketten'!$I$2,'Faktoren Prozessketten'!$E$2:$O$2,0),FALSE)+E$2</f>
        <v>#N/A</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5">
        <v>0</v>
      </c>
      <c r="AD6" s="5">
        <v>0</v>
      </c>
      <c r="AE6" s="5">
        <v>0</v>
      </c>
      <c r="AF6" s="5">
        <v>0</v>
      </c>
      <c r="AG6" s="5">
        <v>0</v>
      </c>
      <c r="AH6" s="5">
        <v>0</v>
      </c>
      <c r="AI6" s="5">
        <v>0</v>
      </c>
      <c r="AJ6" s="5">
        <v>0</v>
      </c>
      <c r="AK6" s="5">
        <v>0</v>
      </c>
      <c r="AL6" s="5">
        <v>0</v>
      </c>
      <c r="AM6" s="5">
        <v>0</v>
      </c>
      <c r="AN6" s="5">
        <v>0</v>
      </c>
      <c r="AO6" s="5">
        <v>0</v>
      </c>
      <c r="AP6" s="5">
        <v>0</v>
      </c>
      <c r="AQ6" s="5">
        <v>0</v>
      </c>
      <c r="AR6" s="5">
        <v>0</v>
      </c>
      <c r="AS6" s="5">
        <v>0</v>
      </c>
      <c r="AT6" s="5">
        <v>0</v>
      </c>
      <c r="AU6" s="5">
        <v>0</v>
      </c>
      <c r="AV6" s="5">
        <v>0</v>
      </c>
      <c r="AW6" s="5">
        <v>0</v>
      </c>
      <c r="AX6" s="5">
        <v>0</v>
      </c>
      <c r="AY6" s="5">
        <v>0</v>
      </c>
      <c r="AZ6" s="5">
        <v>0</v>
      </c>
      <c r="BA6" s="5">
        <v>0</v>
      </c>
      <c r="BB6" s="5">
        <v>0</v>
      </c>
      <c r="BC6" s="5">
        <v>0</v>
      </c>
      <c r="BD6" s="5">
        <v>0</v>
      </c>
      <c r="BE6" s="5">
        <v>0</v>
      </c>
      <c r="BF6" s="5">
        <v>0</v>
      </c>
      <c r="BG6" s="5">
        <v>0</v>
      </c>
      <c r="BH6" s="5">
        <v>0</v>
      </c>
      <c r="BI6" s="5">
        <v>0</v>
      </c>
      <c r="BJ6" s="5">
        <v>0</v>
      </c>
      <c r="BK6" s="5">
        <v>0</v>
      </c>
      <c r="BL6" s="5">
        <v>0</v>
      </c>
      <c r="BM6" s="5">
        <v>0</v>
      </c>
      <c r="BN6" s="5">
        <v>0</v>
      </c>
      <c r="BO6" s="5">
        <v>0</v>
      </c>
      <c r="BP6" s="5">
        <v>0</v>
      </c>
      <c r="BQ6" s="5">
        <v>0</v>
      </c>
      <c r="BR6" s="67" t="e">
        <f>VLOOKUP('Auswertung Eingaben'!$B$2,'Faktoren Prozessketten'!$E$2:$CU$110,MATCH(BR$1,'Faktoren Prozessketten'!$E$2:$CU$2,0),FALSE)</f>
        <v>#N/A</v>
      </c>
      <c r="BS6" s="67" t="e">
        <f>VLOOKUP('Auswertung Eingaben'!$B$2,'Faktoren Prozessketten'!$E$2:$CU$110,MATCH(BS$1,'Faktoren Prozessketten'!$E$2:$CU$2,0),FALSE)</f>
        <v>#N/A</v>
      </c>
      <c r="BT6" s="67" t="e">
        <f>VLOOKUP('Auswertung Eingaben'!$B$2,'Faktoren Prozessketten'!$E$2:$CU$110,MATCH(BT$1,'Faktoren Prozessketten'!$E$2:$CU$2,0),FALSE)</f>
        <v>#N/A</v>
      </c>
      <c r="BU6" s="67" t="e">
        <f>VLOOKUP('Auswertung Eingaben'!$B$2,'Faktoren Prozessketten'!$E$2:$CU$110,MATCH(BU$1,'Faktoren Prozessketten'!$E$2:$CU$2,0),FALSE)</f>
        <v>#N/A</v>
      </c>
      <c r="BV6" s="67" t="e">
        <f>VLOOKUP('Auswertung Eingaben'!$B$2,'Faktoren Prozessketten'!$E$2:$CU$110,MATCH(BV$1,'Faktoren Prozessketten'!$E$2:$CU$2,0),FALSE)</f>
        <v>#N/A</v>
      </c>
      <c r="BW6" s="67" t="e">
        <f>VLOOKUP('Auswertung Eingaben'!$B$2,'Faktoren Prozessketten'!$E$2:$CU$110,MATCH(BW$1,'Faktoren Prozessketten'!$E$2:$CU$2,0),FALSE)</f>
        <v>#N/A</v>
      </c>
      <c r="BX6" s="67" t="e">
        <f>VLOOKUP('Auswertung Eingaben'!$B$2,'Faktoren Prozessketten'!$E$2:$CU$110,MATCH(BX$1,'Faktoren Prozessketten'!$E$2:$CU$2,0),FALSE)</f>
        <v>#N/A</v>
      </c>
      <c r="BY6" s="67" t="e">
        <f>VLOOKUP('Auswertung Eingaben'!$B$2,'Faktoren Prozessketten'!$E$2:$CU$110,MATCH(BY$1,'Faktoren Prozessketten'!$E$2:$CU$2,0),FALSE)</f>
        <v>#N/A</v>
      </c>
      <c r="BZ6" s="67" t="e">
        <f>VLOOKUP('Auswertung Eingaben'!$B$2,'Faktoren Prozessketten'!$E$2:$CU$110,MATCH(BZ$1,'Faktoren Prozessketten'!$E$2:$CU$2,0),FALSE)</f>
        <v>#N/A</v>
      </c>
      <c r="CA6" s="67" t="e">
        <f>VLOOKUP('Auswertung Eingaben'!$B$2,'Faktoren Prozessketten'!$E$2:$CU$110,MATCH(CA$1,'Faktoren Prozessketten'!$E$2:$CU$2,0),FALSE)</f>
        <v>#N/A</v>
      </c>
      <c r="CB6" s="67" t="e">
        <f>VLOOKUP('Auswertung Eingaben'!$B$2,'Faktoren Prozessketten'!$E$2:$CU$110,MATCH(CB$1,'Faktoren Prozessketten'!$E$2:$CU$2,0),FALSE)</f>
        <v>#N/A</v>
      </c>
      <c r="CC6" s="67" t="e">
        <f>VLOOKUP('Auswertung Eingaben'!$B$2,'Faktoren Prozessketten'!$E$2:$CU$110,MATCH(CC$1,'Faktoren Prozessketten'!$E$2:$CU$2,0),FALSE)</f>
        <v>#N/A</v>
      </c>
      <c r="CD6" s="67" t="e">
        <f>VLOOKUP('Auswertung Eingaben'!$B$2,'Faktoren Prozessketten'!$E$2:$CU$110,MATCH(CD$1,'Faktoren Prozessketten'!$E$2:$CU$2,0),FALSE)</f>
        <v>#N/A</v>
      </c>
      <c r="CE6" s="67" t="e">
        <f>VLOOKUP('Auswertung Eingaben'!$B$2,'Faktoren Prozessketten'!$E$2:$CU$110,MATCH(CE$1,'Faktoren Prozessketten'!$E$2:$CU$2,0),FALSE)</f>
        <v>#N/A</v>
      </c>
      <c r="CF6" s="5">
        <v>0</v>
      </c>
      <c r="CG6" s="5">
        <v>0</v>
      </c>
      <c r="CH6" s="5">
        <v>0</v>
      </c>
      <c r="CI6" s="5">
        <v>0</v>
      </c>
      <c r="CJ6" s="5">
        <v>0</v>
      </c>
      <c r="CK6" s="5">
        <v>0</v>
      </c>
      <c r="CL6" s="5">
        <v>0</v>
      </c>
      <c r="CM6" s="5">
        <v>0</v>
      </c>
      <c r="CN6" s="5">
        <v>0</v>
      </c>
      <c r="CO6" s="5">
        <v>0</v>
      </c>
      <c r="CP6" s="5">
        <v>0</v>
      </c>
      <c r="CQ6" s="5">
        <v>0</v>
      </c>
      <c r="CR6" s="5">
        <v>0</v>
      </c>
      <c r="CS6" s="5">
        <v>0</v>
      </c>
      <c r="CT6" s="5">
        <v>0</v>
      </c>
      <c r="CU6" s="5">
        <v>0</v>
      </c>
      <c r="CV6" s="5">
        <v>0</v>
      </c>
      <c r="CW6" s="5">
        <v>0</v>
      </c>
      <c r="CX6" s="5">
        <v>0</v>
      </c>
      <c r="CY6" s="5">
        <v>0</v>
      </c>
      <c r="CZ6" s="5">
        <v>0</v>
      </c>
      <c r="DA6" s="5">
        <v>0</v>
      </c>
      <c r="DB6" s="5">
        <v>0</v>
      </c>
      <c r="DC6" s="5">
        <v>0</v>
      </c>
      <c r="DD6" s="5">
        <v>0</v>
      </c>
      <c r="DE6" s="5">
        <v>0</v>
      </c>
      <c r="DF6" s="5">
        <v>0</v>
      </c>
    </row>
    <row r="7" spans="1:164" x14ac:dyDescent="0.2">
      <c r="B7"/>
      <c r="C7"/>
    </row>
    <row r="8" spans="1:164" x14ac:dyDescent="0.2">
      <c r="B8"/>
      <c r="C8" s="61"/>
    </row>
    <row r="10" spans="1:164" x14ac:dyDescent="0.2">
      <c r="B10" s="56"/>
      <c r="C10" s="56"/>
    </row>
  </sheetData>
  <conditionalFormatting sqref="J1:DF1">
    <cfRule type="expression" dxfId="13" priority="2">
      <formula>J$2&gt;0</formula>
    </cfRule>
  </conditionalFormatting>
  <pageMargins left="0.7" right="0.7" top="0.78740157499999996" bottom="0.78740157499999996"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BF2BD-FD8B-3D4A-996D-7F1427F33FA1}">
  <dimension ref="A1:DF105"/>
  <sheetViews>
    <sheetView zoomScale="80" zoomScaleNormal="80" workbookViewId="0">
      <pane xSplit="8" ySplit="3" topLeftCell="M73" activePane="bottomRight" state="frozenSplit"/>
      <selection pane="topRight" activeCell="I1" sqref="I1"/>
      <selection pane="bottomLeft" activeCell="A25" sqref="A25"/>
      <selection pane="bottomRight" activeCell="P80" sqref="P80"/>
    </sheetView>
  </sheetViews>
  <sheetFormatPr baseColWidth="10" defaultRowHeight="16" x14ac:dyDescent="0.2"/>
  <cols>
    <col min="1" max="1" width="19.6640625" style="2" customWidth="1"/>
    <col min="2" max="2" width="18.5" style="2" customWidth="1"/>
    <col min="3" max="3" width="26" style="2" customWidth="1"/>
    <col min="4" max="4" width="20.33203125" style="2" bestFit="1" customWidth="1"/>
    <col min="5" max="5" width="35.6640625" style="2" customWidth="1"/>
    <col min="6" max="7" width="14" style="2" customWidth="1"/>
    <col min="8" max="8" width="55.1640625" style="2" customWidth="1"/>
    <col min="9" max="11" width="18.33203125" style="36" customWidth="1"/>
    <col min="12" max="19" width="30.83203125" style="2" customWidth="1"/>
    <col min="20" max="24" width="20.6640625" style="2" customWidth="1"/>
    <col min="25" max="26" width="16.5" style="2" customWidth="1"/>
    <col min="27" max="29" width="20.6640625" style="2" customWidth="1"/>
    <col min="30" max="35" width="16.5" style="2" customWidth="1"/>
    <col min="36" max="39" width="20.6640625" style="2" customWidth="1"/>
    <col min="40" max="40" width="10.83203125" style="37"/>
    <col min="41" max="97" width="10.83203125" style="2"/>
    <col min="98" max="99" width="13.33203125" style="2" bestFit="1" customWidth="1"/>
    <col min="100" max="101" width="10.83203125" style="2"/>
    <col min="102" max="102" width="11.6640625" style="2" customWidth="1"/>
    <col min="103" max="103" width="10.83203125" style="2"/>
    <col min="104" max="104" width="13.33203125" style="2" bestFit="1" customWidth="1"/>
    <col min="105" max="16384" width="10.83203125" style="2"/>
  </cols>
  <sheetData>
    <row r="1" spans="1:110" ht="17" x14ac:dyDescent="0.2">
      <c r="I1" s="17" t="s">
        <v>69</v>
      </c>
      <c r="J1" s="17"/>
      <c r="K1" s="17"/>
      <c r="L1" s="51" t="s">
        <v>216</v>
      </c>
      <c r="M1" s="16"/>
      <c r="N1" s="16"/>
      <c r="O1" s="16"/>
      <c r="P1" s="16"/>
      <c r="Q1" s="16"/>
      <c r="R1" s="16"/>
      <c r="S1" s="16"/>
    </row>
    <row r="2" spans="1:110" s="60" customFormat="1" ht="221" x14ac:dyDescent="0.2">
      <c r="A2" s="60" t="s">
        <v>100</v>
      </c>
      <c r="B2" s="60" t="s">
        <v>53</v>
      </c>
      <c r="C2" s="60" t="s">
        <v>54</v>
      </c>
      <c r="D2" s="60" t="s">
        <v>55</v>
      </c>
      <c r="E2" s="60" t="s">
        <v>56</v>
      </c>
      <c r="F2" s="60" t="s">
        <v>87</v>
      </c>
      <c r="G2" s="60" t="s">
        <v>204</v>
      </c>
      <c r="H2" s="60" t="s">
        <v>107</v>
      </c>
      <c r="I2" s="36" t="s">
        <v>67</v>
      </c>
      <c r="J2" s="36" t="s">
        <v>68</v>
      </c>
      <c r="K2" s="36" t="s">
        <v>70</v>
      </c>
      <c r="L2" s="60" t="s">
        <v>57</v>
      </c>
      <c r="M2" s="60" t="s">
        <v>128</v>
      </c>
      <c r="N2" s="60" t="s">
        <v>122</v>
      </c>
      <c r="O2" s="60" t="s">
        <v>123</v>
      </c>
      <c r="P2" s="60" t="s">
        <v>113</v>
      </c>
      <c r="Q2" s="60" t="s">
        <v>287</v>
      </c>
      <c r="R2" s="60" t="s">
        <v>114</v>
      </c>
      <c r="S2" s="60" t="s">
        <v>129</v>
      </c>
      <c r="T2" s="60" t="s">
        <v>117</v>
      </c>
      <c r="U2" s="60" t="s">
        <v>116</v>
      </c>
      <c r="V2" s="60" t="s">
        <v>84</v>
      </c>
      <c r="W2" s="60" t="s">
        <v>192</v>
      </c>
      <c r="X2" s="60" t="s">
        <v>193</v>
      </c>
      <c r="Y2" s="60" t="s">
        <v>112</v>
      </c>
      <c r="Z2" s="60" t="s">
        <v>111</v>
      </c>
      <c r="AA2" s="60" t="s">
        <v>115</v>
      </c>
      <c r="AB2" s="60" t="s">
        <v>83</v>
      </c>
      <c r="AC2" s="60" t="s">
        <v>108</v>
      </c>
      <c r="AD2" s="60" t="s">
        <v>110</v>
      </c>
      <c r="AE2" s="60" t="s">
        <v>109</v>
      </c>
      <c r="AF2" s="60" t="s">
        <v>119</v>
      </c>
      <c r="AG2" s="60" t="s">
        <v>118</v>
      </c>
      <c r="AH2" s="60" t="s">
        <v>121</v>
      </c>
      <c r="AI2" s="60" t="s">
        <v>120</v>
      </c>
      <c r="AJ2" s="60" t="s">
        <v>194</v>
      </c>
      <c r="AK2" s="60" t="s">
        <v>195</v>
      </c>
      <c r="AL2" s="60" t="s">
        <v>196</v>
      </c>
      <c r="AM2" s="60" t="s">
        <v>197</v>
      </c>
      <c r="AN2" s="60" t="s">
        <v>157</v>
      </c>
      <c r="AO2" s="60" t="s">
        <v>160</v>
      </c>
      <c r="AP2" s="60" t="s">
        <v>156</v>
      </c>
      <c r="AQ2" s="60" t="s">
        <v>158</v>
      </c>
      <c r="AR2" s="60" t="s">
        <v>162</v>
      </c>
      <c r="AS2" s="60" t="s">
        <v>164</v>
      </c>
      <c r="AT2" s="60" t="s">
        <v>163</v>
      </c>
      <c r="AU2" s="60" t="s">
        <v>161</v>
      </c>
      <c r="AV2" s="60" t="s">
        <v>165</v>
      </c>
      <c r="AW2" s="60" t="s">
        <v>182</v>
      </c>
      <c r="AX2" s="60" t="s">
        <v>184</v>
      </c>
      <c r="AY2" s="60" t="s">
        <v>180</v>
      </c>
      <c r="AZ2" s="60" t="s">
        <v>181</v>
      </c>
      <c r="BA2" s="60" t="s">
        <v>147</v>
      </c>
      <c r="BB2" s="60" t="s">
        <v>150</v>
      </c>
      <c r="BC2" s="60" t="s">
        <v>183</v>
      </c>
      <c r="BD2" s="60" t="s">
        <v>146</v>
      </c>
      <c r="BE2" s="60" t="s">
        <v>152</v>
      </c>
      <c r="BF2" s="60" t="s">
        <v>151</v>
      </c>
      <c r="BG2" s="60" t="s">
        <v>149</v>
      </c>
      <c r="BH2" s="60" t="s">
        <v>148</v>
      </c>
      <c r="BI2" s="60" t="s">
        <v>159</v>
      </c>
      <c r="BJ2" s="60" t="s">
        <v>155</v>
      </c>
      <c r="BK2" s="60" t="s">
        <v>153</v>
      </c>
      <c r="BL2" s="60" t="s">
        <v>166</v>
      </c>
      <c r="BM2" s="60" t="s">
        <v>168</v>
      </c>
      <c r="BN2" s="60" t="s">
        <v>167</v>
      </c>
      <c r="BO2" s="60" t="s">
        <v>171</v>
      </c>
      <c r="BP2" s="60" t="s">
        <v>172</v>
      </c>
      <c r="BQ2" s="60" t="s">
        <v>169</v>
      </c>
      <c r="BR2" s="60" t="s">
        <v>170</v>
      </c>
      <c r="BS2" s="60" t="s">
        <v>185</v>
      </c>
      <c r="BT2" s="60" t="s">
        <v>173</v>
      </c>
      <c r="BU2" s="60" t="s">
        <v>174</v>
      </c>
      <c r="BV2" s="60" t="s">
        <v>175</v>
      </c>
      <c r="BW2" s="60" t="s">
        <v>178</v>
      </c>
      <c r="BX2" s="60" t="s">
        <v>176</v>
      </c>
      <c r="BY2" s="60" t="s">
        <v>177</v>
      </c>
      <c r="BZ2" s="60" t="s">
        <v>179</v>
      </c>
      <c r="CA2" s="60" t="s">
        <v>154</v>
      </c>
      <c r="CB2" s="60" t="s">
        <v>187</v>
      </c>
      <c r="CC2" s="60" t="s">
        <v>186</v>
      </c>
      <c r="CD2" s="60" t="s">
        <v>189</v>
      </c>
      <c r="CE2" s="60" t="s">
        <v>188</v>
      </c>
      <c r="CF2" s="60" t="s">
        <v>288</v>
      </c>
      <c r="CG2" s="60" t="s">
        <v>210</v>
      </c>
      <c r="CH2" s="60" t="s">
        <v>211</v>
      </c>
      <c r="CI2" s="60" t="s">
        <v>372</v>
      </c>
      <c r="CJ2" s="60" t="s">
        <v>212</v>
      </c>
      <c r="CK2" s="60" t="s">
        <v>213</v>
      </c>
      <c r="CL2" s="60" t="s">
        <v>214</v>
      </c>
      <c r="CM2" s="60" t="s">
        <v>215</v>
      </c>
      <c r="CN2" s="60" t="s">
        <v>327</v>
      </c>
      <c r="CO2" s="60" t="s">
        <v>328</v>
      </c>
      <c r="CP2" s="60" t="s">
        <v>246</v>
      </c>
      <c r="CQ2" s="60" t="s">
        <v>247</v>
      </c>
      <c r="CR2" s="60" t="s">
        <v>256</v>
      </c>
      <c r="CS2" s="60" t="s">
        <v>257</v>
      </c>
      <c r="CT2" s="60" t="s">
        <v>219</v>
      </c>
      <c r="CU2" s="60" t="s">
        <v>220</v>
      </c>
      <c r="CV2" s="60" t="s">
        <v>221</v>
      </c>
      <c r="CW2" s="60" t="s">
        <v>222</v>
      </c>
      <c r="CX2" s="60" t="s">
        <v>223</v>
      </c>
      <c r="CY2" s="60" t="s">
        <v>224</v>
      </c>
      <c r="CZ2" s="60" t="s">
        <v>225</v>
      </c>
      <c r="DA2" s="60" t="s">
        <v>239</v>
      </c>
      <c r="DB2" s="60" t="s">
        <v>240</v>
      </c>
      <c r="DC2" s="60" t="s">
        <v>241</v>
      </c>
      <c r="DD2" s="60" t="s">
        <v>242</v>
      </c>
      <c r="DE2" s="60" t="s">
        <v>243</v>
      </c>
      <c r="DF2" s="60" t="s">
        <v>289</v>
      </c>
    </row>
    <row r="3" spans="1:110" ht="17" x14ac:dyDescent="0.2">
      <c r="L3" s="2" t="str">
        <f>HLOOKUP(L2,'LCIA Daten manuell'!1:2,2,FALSE)</f>
        <v>m³</v>
      </c>
      <c r="M3" s="2" t="str">
        <f>HLOOKUP(M2,'LCIA Daten manuell'!1:2,2,FALSE)</f>
        <v>m³</v>
      </c>
      <c r="N3" s="2" t="str">
        <f>HLOOKUP(N2,'LCIA Daten manuell'!1:2,2,FALSE)</f>
        <v>m³</v>
      </c>
      <c r="O3" s="2" t="str">
        <f>HLOOKUP(O2,'LCIA Daten manuell'!1:2,2,FALSE)</f>
        <v>m³</v>
      </c>
      <c r="P3" s="2" t="str">
        <f>HLOOKUP(P2,'LCIA Daten manuell'!1:2,2,FALSE)</f>
        <v>tkm</v>
      </c>
      <c r="Q3" s="2" t="str">
        <f>HLOOKUP(Q2,'LCIA Daten manuell'!1:2,2,FALSE)</f>
        <v>tkm</v>
      </c>
      <c r="R3" s="2" t="str">
        <f>HLOOKUP(R2,'LCIA Daten manuell'!1:2,2,FALSE)</f>
        <v>tkm</v>
      </c>
      <c r="S3" s="2" t="str">
        <f>HLOOKUP(S2,'LCIA Daten manuell'!1:2,2,FALSE)</f>
        <v>tkm</v>
      </c>
      <c r="T3" s="2" t="str">
        <f>HLOOKUP(T2,'LCIA Daten manuell'!1:2,2,FALSE)</f>
        <v>m³</v>
      </c>
      <c r="U3" s="2" t="str">
        <f>HLOOKUP(U2,'LCIA Daten manuell'!1:2,2,FALSE)</f>
        <v>m³</v>
      </c>
      <c r="V3" s="2" t="str">
        <f>HLOOKUP(V2,'LCIA Daten manuell'!1:2,2,FALSE)</f>
        <v>m³</v>
      </c>
      <c r="W3" s="2" t="str">
        <f>HLOOKUP(W2,'LCIA Daten manuell'!1:2,2,FALSE)</f>
        <v>m³</v>
      </c>
      <c r="X3" s="2" t="str">
        <f>HLOOKUP(X2,'LCIA Daten manuell'!1:2,2,FALSE)</f>
        <v>m³</v>
      </c>
      <c r="Y3" s="2" t="str">
        <f>HLOOKUP(Y2,'LCIA Daten manuell'!1:2,2,FALSE)</f>
        <v>m³</v>
      </c>
      <c r="Z3" s="2" t="str">
        <f>HLOOKUP(Z2,'LCIA Daten manuell'!1:2,2,FALSE)</f>
        <v>m³</v>
      </c>
      <c r="AA3" s="2" t="str">
        <f>HLOOKUP(AA2,'LCIA Daten manuell'!1:2,2,FALSE)</f>
        <v>m³</v>
      </c>
      <c r="AB3" s="2" t="str">
        <f>HLOOKUP(AB2,'LCIA Daten manuell'!1:2,2,FALSE)</f>
        <v>m³</v>
      </c>
      <c r="AC3" s="2" t="str">
        <f>HLOOKUP(AC2,'LCIA Daten manuell'!1:2,2,FALSE)</f>
        <v>m³</v>
      </c>
      <c r="AD3" s="2" t="str">
        <f>HLOOKUP(AD2,'LCIA Daten manuell'!1:2,2,FALSE)</f>
        <v>m³</v>
      </c>
      <c r="AE3" s="2" t="str">
        <f>HLOOKUP(AE2,'LCIA Daten manuell'!1:2,2,FALSE)</f>
        <v>m³</v>
      </c>
      <c r="AF3" s="2" t="str">
        <f>HLOOKUP(AF2,'LCIA Daten manuell'!1:2,2,FALSE)</f>
        <v>m³</v>
      </c>
      <c r="AG3" s="2" t="str">
        <f>HLOOKUP(AG2,'LCIA Daten manuell'!1:2,2,FALSE)</f>
        <v>m³</v>
      </c>
      <c r="AH3" s="2" t="str">
        <f>HLOOKUP(AH2,'LCIA Daten manuell'!1:2,2,FALSE)</f>
        <v>m³</v>
      </c>
      <c r="AI3" s="2" t="str">
        <f>HLOOKUP(AI2,'LCIA Daten manuell'!1:2,2,FALSE)</f>
        <v>m³</v>
      </c>
      <c r="AJ3" s="2" t="str">
        <f>HLOOKUP(AJ2,'LCIA Daten manuell'!1:2,2,FALSE)</f>
        <v>m³</v>
      </c>
      <c r="AK3" s="2" t="str">
        <f>HLOOKUP(AK2,'LCIA Daten manuell'!1:2,2,FALSE)</f>
        <v>m³</v>
      </c>
      <c r="AL3" s="2" t="str">
        <f>HLOOKUP(AL2,'LCIA Daten manuell'!1:2,2,FALSE)</f>
        <v>m³</v>
      </c>
      <c r="AM3" s="2" t="str">
        <f>HLOOKUP(AM2,'LCIA Daten manuell'!1:2,2,FALSE)</f>
        <v>m³</v>
      </c>
      <c r="AN3" s="2" t="str">
        <f>HLOOKUP(AN2,'LCIA Daten manuell'!1:2,2,FALSE)</f>
        <v>m³</v>
      </c>
      <c r="AO3" s="2" t="str">
        <f>HLOOKUP(AO2,'LCIA Daten manuell'!1:2,2,FALSE)</f>
        <v>m³</v>
      </c>
      <c r="AP3" s="2" t="str">
        <f>HLOOKUP(AP2,'LCIA Daten manuell'!1:2,2,FALSE)</f>
        <v>m³</v>
      </c>
      <c r="AQ3" s="2" t="str">
        <f>HLOOKUP(AQ2,'LCIA Daten manuell'!1:2,2,FALSE)</f>
        <v>m³</v>
      </c>
      <c r="AR3" s="2" t="str">
        <f>HLOOKUP(AR2,'LCIA Daten manuell'!1:2,2,FALSE)</f>
        <v>m³</v>
      </c>
      <c r="AS3" s="2" t="str">
        <f>HLOOKUP(AS2,'LCIA Daten manuell'!1:2,2,FALSE)</f>
        <v>m³</v>
      </c>
      <c r="AT3" s="2" t="str">
        <f>HLOOKUP(AT2,'LCIA Daten manuell'!1:2,2,FALSE)</f>
        <v>m³</v>
      </c>
      <c r="AU3" s="2" t="str">
        <f>HLOOKUP(AU2,'LCIA Daten manuell'!1:2,2,FALSE)</f>
        <v>m³</v>
      </c>
      <c r="AV3" s="2" t="str">
        <f>HLOOKUP(AV2,'LCIA Daten manuell'!1:2,2,FALSE)</f>
        <v>m³</v>
      </c>
      <c r="AW3" s="2" t="str">
        <f>HLOOKUP(AW2,'LCIA Daten manuell'!1:2,2,FALSE)</f>
        <v>m³</v>
      </c>
      <c r="AX3" s="2" t="str">
        <f>HLOOKUP(AX2,'LCIA Daten manuell'!1:2,2,FALSE)</f>
        <v>m³</v>
      </c>
      <c r="AY3" s="2" t="str">
        <f>HLOOKUP(AY2,'LCIA Daten manuell'!1:2,2,FALSE)</f>
        <v>m³</v>
      </c>
      <c r="AZ3" s="2" t="str">
        <f>HLOOKUP(AZ2,'LCIA Daten manuell'!1:2,2,FALSE)</f>
        <v>m³</v>
      </c>
      <c r="BA3" s="2" t="str">
        <f>HLOOKUP(BA2,'LCIA Daten manuell'!1:2,2,FALSE)</f>
        <v>m³</v>
      </c>
      <c r="BB3" s="2" t="str">
        <f>HLOOKUP(BB2,'LCIA Daten manuell'!1:2,2,FALSE)</f>
        <v>m³</v>
      </c>
      <c r="BC3" s="2" t="str">
        <f>HLOOKUP(BC2,'LCIA Daten manuell'!1:2,2,FALSE)</f>
        <v>m³</v>
      </c>
      <c r="BD3" s="2" t="str">
        <f>HLOOKUP(BD2,'LCIA Daten manuell'!1:2,2,FALSE)</f>
        <v>m³</v>
      </c>
      <c r="BE3" s="2" t="str">
        <f>HLOOKUP(BE2,'LCIA Daten manuell'!1:2,2,FALSE)</f>
        <v>m³</v>
      </c>
      <c r="BF3" s="2" t="str">
        <f>HLOOKUP(BF2,'LCIA Daten manuell'!1:2,2,FALSE)</f>
        <v>m³</v>
      </c>
      <c r="BG3" s="2" t="str">
        <f>HLOOKUP(BG2,'LCIA Daten manuell'!1:2,2,FALSE)</f>
        <v>m³</v>
      </c>
      <c r="BH3" s="2" t="str">
        <f>HLOOKUP(BH2,'LCIA Daten manuell'!1:2,2,FALSE)</f>
        <v>m³</v>
      </c>
      <c r="BI3" s="2" t="str">
        <f>HLOOKUP(BI2,'LCIA Daten manuell'!1:2,2,FALSE)</f>
        <v>m³</v>
      </c>
      <c r="BJ3" s="2" t="str">
        <f>HLOOKUP(BJ2,'LCIA Daten manuell'!1:2,2,FALSE)</f>
        <v>m³</v>
      </c>
      <c r="BK3" s="2" t="str">
        <f>HLOOKUP(BK2,'LCIA Daten manuell'!1:2,2,FALSE)</f>
        <v>m³</v>
      </c>
      <c r="BL3" s="2" t="str">
        <f>HLOOKUP(BL2,'LCIA Daten manuell'!1:2,2,FALSE)</f>
        <v>m³</v>
      </c>
      <c r="BM3" s="2" t="str">
        <f>HLOOKUP(BM2,'LCIA Daten manuell'!1:2,2,FALSE)</f>
        <v>m³</v>
      </c>
      <c r="BN3" s="2" t="str">
        <f>HLOOKUP(BN2,'LCIA Daten manuell'!1:2,2,FALSE)</f>
        <v>m³</v>
      </c>
      <c r="BO3" s="2" t="str">
        <f>HLOOKUP(BO2,'LCIA Daten manuell'!1:2,2,FALSE)</f>
        <v>m³</v>
      </c>
      <c r="BP3" s="2" t="str">
        <f>HLOOKUP(BP2,'LCIA Daten manuell'!1:2,2,FALSE)</f>
        <v>m³</v>
      </c>
      <c r="BQ3" s="2" t="str">
        <f>HLOOKUP(BQ2,'LCIA Daten manuell'!1:2,2,FALSE)</f>
        <v>m³</v>
      </c>
      <c r="BR3" s="2" t="str">
        <f>HLOOKUP(BR2,'LCIA Daten manuell'!1:2,2,FALSE)</f>
        <v>m³</v>
      </c>
      <c r="BS3" s="2" t="str">
        <f>HLOOKUP(BS2,'LCIA Daten manuell'!1:2,2,FALSE)</f>
        <v>m³</v>
      </c>
      <c r="BT3" s="2" t="str">
        <f>HLOOKUP(BT2,'LCIA Daten manuell'!1:2,2,FALSE)</f>
        <v>m³</v>
      </c>
      <c r="BU3" s="2" t="str">
        <f>HLOOKUP(BU2,'LCIA Daten manuell'!1:2,2,FALSE)</f>
        <v>m³</v>
      </c>
      <c r="BV3" s="2" t="str">
        <f>HLOOKUP(BV2,'LCIA Daten manuell'!1:2,2,FALSE)</f>
        <v>m³</v>
      </c>
      <c r="BW3" s="2" t="str">
        <f>HLOOKUP(BW2,'LCIA Daten manuell'!1:2,2,FALSE)</f>
        <v>m³</v>
      </c>
      <c r="BX3" s="2" t="str">
        <f>HLOOKUP(BX2,'LCIA Daten manuell'!1:2,2,FALSE)</f>
        <v>m³</v>
      </c>
      <c r="BY3" s="2" t="str">
        <f>HLOOKUP(BY2,'LCIA Daten manuell'!1:2,2,FALSE)</f>
        <v>m³</v>
      </c>
      <c r="BZ3" s="2" t="str">
        <f>HLOOKUP(BZ2,'LCIA Daten manuell'!1:2,2,FALSE)</f>
        <v>m³</v>
      </c>
      <c r="CA3" s="2" t="str">
        <f>HLOOKUP(CA2,'LCIA Daten manuell'!1:2,2,FALSE)</f>
        <v>m³</v>
      </c>
      <c r="CB3" s="2" t="str">
        <f>HLOOKUP(CB2,'LCIA Daten manuell'!1:2,2,FALSE)</f>
        <v>m³</v>
      </c>
      <c r="CC3" s="2" t="str">
        <f>HLOOKUP(CC2,'LCIA Daten manuell'!1:2,2,FALSE)</f>
        <v>m³</v>
      </c>
      <c r="CD3" s="2" t="str">
        <f>HLOOKUP(CD2,'LCIA Daten manuell'!1:2,2,FALSE)</f>
        <v>m³</v>
      </c>
      <c r="CE3" s="2" t="str">
        <f>HLOOKUP(CE2,'LCIA Daten manuell'!1:2,2,FALSE)</f>
        <v>m³</v>
      </c>
      <c r="CG3" s="2" t="str">
        <f>HLOOKUP(CG2,'LCIA Daten manuell'!1:2,2,FALSE)</f>
        <v>m³</v>
      </c>
      <c r="CH3" s="2" t="str">
        <f>HLOOKUP(CH2,'LCIA Daten manuell'!1:2,2,FALSE)</f>
        <v>m³</v>
      </c>
      <c r="CI3" s="2" t="str">
        <f>HLOOKUP(CI2,'LCIA Daten manuell'!1:2,2,FALSE)</f>
        <v>m³</v>
      </c>
      <c r="CJ3" s="2" t="str">
        <f>HLOOKUP(CJ2,'LCIA Daten manuell'!1:2,2,FALSE)</f>
        <v>m³</v>
      </c>
      <c r="CK3" s="2" t="str">
        <f>HLOOKUP(CK2,'LCIA Daten manuell'!1:2,2,FALSE)</f>
        <v>m³</v>
      </c>
      <c r="CL3" s="2" t="str">
        <f>HLOOKUP(CL2,'LCIA Daten manuell'!1:2,2,FALSE)</f>
        <v>m³</v>
      </c>
      <c r="CM3" s="2" t="str">
        <f>HLOOKUP(CM2,'LCIA Daten manuell'!1:2,2,FALSE)</f>
        <v>m³</v>
      </c>
      <c r="CN3" s="2" t="str">
        <f>HLOOKUP(CN2,'LCIA Daten manuell'!1:2,2,FALSE)</f>
        <v>m³</v>
      </c>
      <c r="CO3" s="2" t="str">
        <f>HLOOKUP(CO2,'LCIA Daten manuell'!1:2,2,FALSE)</f>
        <v>m³</v>
      </c>
      <c r="CP3" s="2" t="str">
        <f>HLOOKUP(CP2,'LCIA Daten manuell'!1:2,2,FALSE)</f>
        <v>kg</v>
      </c>
      <c r="CQ3" s="2" t="str">
        <f>HLOOKUP(CQ2,'LCIA Daten manuell'!1:2,2,FALSE)</f>
        <v>kg</v>
      </c>
      <c r="CR3" s="2" t="str">
        <f>HLOOKUP(CR2,'LCIA Daten manuell'!1:2,2,FALSE)</f>
        <v>kg</v>
      </c>
      <c r="CS3" s="2" t="str">
        <f>HLOOKUP(CS2,'LCIA Daten manuell'!1:2,2,FALSE)</f>
        <v>kg</v>
      </c>
      <c r="CT3" s="2" t="str">
        <f>HLOOKUP(CT2,'LCIA Daten manuell'!1:2,2,FALSE)</f>
        <v>kg</v>
      </c>
      <c r="CU3" s="2" t="str">
        <f>HLOOKUP(CU2,'LCIA Daten manuell'!1:2,2,FALSE)</f>
        <v>kg</v>
      </c>
      <c r="CV3" s="2" t="str">
        <f>HLOOKUP(CV2,'LCIA Daten manuell'!1:2,2,FALSE)</f>
        <v>kg</v>
      </c>
      <c r="CW3" s="2" t="str">
        <f>HLOOKUP(CW2,'LCIA Daten manuell'!1:2,2,FALSE)</f>
        <v>kg</v>
      </c>
      <c r="CX3" s="2" t="str">
        <f>HLOOKUP(CX2,'LCIA Daten manuell'!1:2,2,FALSE)</f>
        <v>kg</v>
      </c>
      <c r="CY3" s="2" t="str">
        <f>HLOOKUP(CY2,'LCIA Daten manuell'!1:2,2,FALSE)</f>
        <v>kg</v>
      </c>
      <c r="CZ3" s="2" t="str">
        <f>HLOOKUP(CZ2,'LCIA Daten manuell'!1:2,2,FALSE)</f>
        <v>kg</v>
      </c>
      <c r="DA3" s="2" t="str">
        <f>HLOOKUP(DA2,'LCIA Daten manuell'!1:2,2,FALSE)</f>
        <v>kg</v>
      </c>
      <c r="DB3" s="2" t="str">
        <f>HLOOKUP(DB2,'LCIA Daten manuell'!1:2,2,FALSE)</f>
        <v>kg</v>
      </c>
      <c r="DC3" s="2" t="str">
        <f>HLOOKUP(DC2,'LCIA Daten manuell'!1:2,2,FALSE)</f>
        <v>kg</v>
      </c>
      <c r="DD3" s="2" t="str">
        <f>HLOOKUP(DD2,'LCIA Daten manuell'!1:2,2,FALSE)</f>
        <v>kg</v>
      </c>
      <c r="DE3" s="2" t="str">
        <f>HLOOKUP(DE2,'LCIA Daten manuell'!1:2,2,FALSE)</f>
        <v>kg</v>
      </c>
      <c r="DF3" s="2" t="str">
        <f>HLOOKUP(DF2,'LCIA Daten manuell'!1:2,2,FALSE)</f>
        <v>kg</v>
      </c>
    </row>
    <row r="4" spans="1:110" ht="51" x14ac:dyDescent="0.2">
      <c r="A4" s="2" t="s">
        <v>0</v>
      </c>
      <c r="B4" s="2" t="s">
        <v>3</v>
      </c>
      <c r="C4" s="2" t="s">
        <v>237</v>
      </c>
      <c r="D4" s="2" t="s">
        <v>58</v>
      </c>
      <c r="E4" s="2" t="str">
        <f>CONCATENATE(A4," ",B4," ",C4," - ",D4)</f>
        <v>Schnittholz Balken Laubholz gehobelt, kammergetrocknet, (u=10%) - CH</v>
      </c>
      <c r="F4" s="2" t="s">
        <v>88</v>
      </c>
      <c r="G4" s="2">
        <f>HLOOKUP($H4,'LCIA Daten manuell'!$A$1:$CU$3,3,FALSE)/1000</f>
        <v>0.67500000000000004</v>
      </c>
      <c r="H4" s="2" t="str">
        <f t="shared" ref="H4:H35" si="0">INDEX(L$2:DG$2,1,MATCH(1,L4:DG4,0))</f>
        <v>sawnwood, beam, hardwood, dried (u=10%), planed, at sawmill - CH</v>
      </c>
      <c r="I4" s="36">
        <f>(1.29+0.228)*J4</f>
        <v>1.7373510000000001</v>
      </c>
      <c r="J4" s="36">
        <f>1.09*K4</f>
        <v>1.1445000000000001</v>
      </c>
      <c r="K4" s="36">
        <v>1.05</v>
      </c>
      <c r="L4" s="2">
        <f>-1.29*HLOOKUP("m3 Stufe1/m3 Produkt",$I$2:$K$103,ROW()-1,FALSE)</f>
        <v>-1.4764050000000002</v>
      </c>
      <c r="M4" s="2">
        <f>-0.228*HLOOKUP("m3 Stufe1/m3 Produkt",$I$2:$K$103,ROW()-1,FALSE)</f>
        <v>-0.26094600000000001</v>
      </c>
      <c r="N4" s="2">
        <v>0</v>
      </c>
      <c r="O4" s="2">
        <v>0</v>
      </c>
      <c r="P4" s="2">
        <v>0</v>
      </c>
      <c r="Q4" s="2">
        <f>-68.19*HLOOKUP("m3 Stufe1/m3 Produkt",$I$2:$K$103,ROW()-1,FALSE)</f>
        <v>-78.043455000000009</v>
      </c>
      <c r="R4" s="2">
        <v>0</v>
      </c>
      <c r="S4" s="2">
        <v>0</v>
      </c>
      <c r="T4" s="2">
        <v>0</v>
      </c>
      <c r="U4" s="2">
        <v>0</v>
      </c>
      <c r="V4" s="2">
        <v>0</v>
      </c>
      <c r="W4" s="2">
        <v>0</v>
      </c>
      <c r="X4" s="2">
        <v>0</v>
      </c>
      <c r="Y4" s="2">
        <v>0</v>
      </c>
      <c r="Z4" s="2">
        <v>0</v>
      </c>
      <c r="AA4" s="2">
        <v>0</v>
      </c>
      <c r="AB4" s="2">
        <v>1</v>
      </c>
      <c r="AC4" s="2">
        <v>0</v>
      </c>
      <c r="AD4" s="2">
        <v>0</v>
      </c>
      <c r="AE4" s="2">
        <v>0</v>
      </c>
      <c r="AF4" s="2">
        <v>0</v>
      </c>
      <c r="AG4" s="2">
        <v>0</v>
      </c>
      <c r="AH4" s="2">
        <v>0</v>
      </c>
      <c r="AI4" s="2">
        <v>0</v>
      </c>
      <c r="AJ4" s="2">
        <v>0</v>
      </c>
      <c r="AK4" s="2">
        <v>0</v>
      </c>
      <c r="AL4" s="2">
        <v>0</v>
      </c>
      <c r="AM4" s="2">
        <v>0</v>
      </c>
      <c r="AN4" s="37">
        <v>0</v>
      </c>
      <c r="AO4" s="2">
        <v>0</v>
      </c>
      <c r="AP4" s="2">
        <v>0</v>
      </c>
      <c r="AQ4" s="2">
        <v>0</v>
      </c>
      <c r="AR4" s="2">
        <v>0</v>
      </c>
      <c r="AS4" s="2">
        <v>0</v>
      </c>
      <c r="AT4" s="2">
        <v>0</v>
      </c>
      <c r="AU4" s="2">
        <v>0</v>
      </c>
      <c r="AV4" s="2">
        <v>0</v>
      </c>
      <c r="AW4" s="2">
        <v>0</v>
      </c>
      <c r="AX4" s="2">
        <v>0</v>
      </c>
      <c r="AY4" s="2">
        <v>0</v>
      </c>
      <c r="AZ4" s="2">
        <v>0</v>
      </c>
      <c r="BA4" s="2">
        <v>0</v>
      </c>
      <c r="BB4" s="2">
        <v>0</v>
      </c>
      <c r="BC4" s="2">
        <v>0</v>
      </c>
      <c r="BD4" s="2">
        <v>0</v>
      </c>
      <c r="BE4" s="2">
        <v>0</v>
      </c>
      <c r="BF4" s="2">
        <v>0</v>
      </c>
      <c r="BG4" s="2">
        <v>0</v>
      </c>
      <c r="BH4" s="2">
        <v>0</v>
      </c>
      <c r="BI4" s="2">
        <v>0</v>
      </c>
      <c r="BJ4" s="2">
        <v>0</v>
      </c>
      <c r="BK4" s="2">
        <v>0</v>
      </c>
      <c r="BL4" s="2">
        <v>0</v>
      </c>
      <c r="BM4" s="2">
        <v>0</v>
      </c>
      <c r="BN4" s="2">
        <v>0</v>
      </c>
      <c r="BO4" s="2">
        <v>0</v>
      </c>
      <c r="BP4" s="2">
        <v>0</v>
      </c>
      <c r="BQ4" s="2">
        <v>0</v>
      </c>
      <c r="BR4" s="2">
        <v>0</v>
      </c>
      <c r="BS4" s="2">
        <v>0</v>
      </c>
      <c r="BT4" s="2">
        <v>0</v>
      </c>
      <c r="BU4" s="2">
        <v>0</v>
      </c>
      <c r="BV4" s="2">
        <v>0</v>
      </c>
      <c r="BW4" s="2">
        <v>0</v>
      </c>
      <c r="BX4" s="2">
        <v>0</v>
      </c>
      <c r="BY4" s="2">
        <v>0</v>
      </c>
      <c r="BZ4" s="2">
        <v>0</v>
      </c>
      <c r="CA4" s="2">
        <v>0</v>
      </c>
      <c r="CB4" s="2">
        <v>0</v>
      </c>
      <c r="CC4" s="2">
        <v>0</v>
      </c>
      <c r="CD4" s="2">
        <v>0</v>
      </c>
      <c r="CE4" s="2">
        <v>0</v>
      </c>
      <c r="CF4" s="2">
        <v>0</v>
      </c>
      <c r="CG4" s="2">
        <v>0</v>
      </c>
      <c r="CH4" s="2">
        <v>0</v>
      </c>
      <c r="CI4" s="2">
        <v>0</v>
      </c>
      <c r="CJ4" s="2">
        <v>0</v>
      </c>
      <c r="CK4" s="2">
        <v>0</v>
      </c>
      <c r="CL4" s="2">
        <v>0</v>
      </c>
      <c r="CM4" s="2">
        <v>0</v>
      </c>
      <c r="CN4" s="2">
        <v>0</v>
      </c>
      <c r="CO4" s="2">
        <v>0</v>
      </c>
      <c r="CP4" s="2">
        <v>0</v>
      </c>
      <c r="CQ4" s="2">
        <v>0</v>
      </c>
      <c r="CR4" s="2">
        <v>0</v>
      </c>
      <c r="CS4" s="2">
        <v>0</v>
      </c>
      <c r="CT4" s="2">
        <v>0</v>
      </c>
      <c r="CU4" s="2">
        <v>0</v>
      </c>
      <c r="CV4" s="2">
        <v>0</v>
      </c>
      <c r="CW4" s="2">
        <v>0</v>
      </c>
      <c r="CX4" s="2">
        <v>0</v>
      </c>
      <c r="CY4" s="2">
        <v>0</v>
      </c>
      <c r="CZ4" s="2">
        <v>0</v>
      </c>
      <c r="DA4" s="2">
        <v>0</v>
      </c>
      <c r="DB4" s="2">
        <v>0</v>
      </c>
      <c r="DC4" s="2">
        <v>0</v>
      </c>
      <c r="DD4" s="2">
        <v>0</v>
      </c>
      <c r="DE4" s="2">
        <f>$G4*1000</f>
        <v>675</v>
      </c>
      <c r="DF4" s="2">
        <v>0</v>
      </c>
    </row>
    <row r="5" spans="1:110" ht="34" x14ac:dyDescent="0.2">
      <c r="A5" s="2" t="s">
        <v>0</v>
      </c>
      <c r="B5" s="2" t="s">
        <v>3</v>
      </c>
      <c r="C5" s="2" t="s">
        <v>238</v>
      </c>
      <c r="D5" s="2" t="s">
        <v>58</v>
      </c>
      <c r="E5" s="2" t="str">
        <f t="shared" ref="E5:E69" si="1">CONCATENATE(A5," ",B5," ",C5," - ",D5)</f>
        <v>Schnittholz Balken Laubholz gehobelt, getrocknet, (u=20%) - CH</v>
      </c>
      <c r="F5" s="2" t="s">
        <v>88</v>
      </c>
      <c r="G5" s="2">
        <f>HLOOKUP($H5,'LCIA Daten manuell'!$A$1:$CU$3,3,FALSE)/1000</f>
        <v>0.70499999999999996</v>
      </c>
      <c r="H5" s="2" t="str">
        <f t="shared" si="0"/>
        <v>sawnwood, beam, hardwood, dried (u=20%), planed, at sawmill - CH</v>
      </c>
      <c r="I5" s="36">
        <f t="shared" ref="I5" si="2">(1.29+0.228)*J5</f>
        <v>1.65291984</v>
      </c>
      <c r="J5" s="36">
        <f>1.04*K5</f>
        <v>1.0888800000000001</v>
      </c>
      <c r="K5" s="36">
        <f>0.209+0.838</f>
        <v>1.0469999999999999</v>
      </c>
      <c r="L5" s="2">
        <f>-1.29*HLOOKUP("m3 Stufe1/m3 Produkt",$I$2:$K$103,ROW()-1,FALSE)</f>
        <v>-1.4046552000000001</v>
      </c>
      <c r="M5" s="2">
        <f>-0.228*HLOOKUP("m3 Stufe1/m3 Produkt",$I$2:$K$103,ROW()-1,FALSE)</f>
        <v>-0.24826464000000004</v>
      </c>
      <c r="N5" s="2">
        <v>0</v>
      </c>
      <c r="O5" s="2">
        <v>0</v>
      </c>
      <c r="P5" s="2">
        <v>0</v>
      </c>
      <c r="Q5" s="2">
        <f>-68.19*HLOOKUP("m3 Stufe1/m3 Produkt",$I$2:$K$103,ROW()-1,FALSE)</f>
        <v>-74.2507272</v>
      </c>
      <c r="R5" s="2">
        <v>0</v>
      </c>
      <c r="S5" s="2">
        <v>0</v>
      </c>
      <c r="T5" s="2">
        <v>0</v>
      </c>
      <c r="U5" s="2">
        <v>0</v>
      </c>
      <c r="V5" s="2">
        <v>1</v>
      </c>
      <c r="W5" s="2">
        <v>0</v>
      </c>
      <c r="X5" s="2">
        <v>0</v>
      </c>
      <c r="Y5" s="2">
        <v>0</v>
      </c>
      <c r="Z5" s="2">
        <v>0</v>
      </c>
      <c r="AA5" s="2">
        <v>0</v>
      </c>
      <c r="AB5" s="2">
        <v>0</v>
      </c>
      <c r="AC5" s="2">
        <v>0</v>
      </c>
      <c r="AD5" s="2">
        <v>0</v>
      </c>
      <c r="AE5" s="2">
        <v>0</v>
      </c>
      <c r="AF5" s="2">
        <v>0</v>
      </c>
      <c r="AG5" s="2">
        <v>0</v>
      </c>
      <c r="AH5" s="2">
        <v>0</v>
      </c>
      <c r="AI5" s="2">
        <v>0</v>
      </c>
      <c r="AJ5" s="2">
        <v>0</v>
      </c>
      <c r="AK5" s="2">
        <v>0</v>
      </c>
      <c r="AL5" s="2">
        <v>0</v>
      </c>
      <c r="AM5" s="2">
        <v>0</v>
      </c>
      <c r="AN5" s="37">
        <v>0</v>
      </c>
      <c r="AO5" s="2">
        <v>0</v>
      </c>
      <c r="AP5" s="2">
        <v>0</v>
      </c>
      <c r="AQ5" s="2">
        <v>0</v>
      </c>
      <c r="AR5" s="2">
        <v>0</v>
      </c>
      <c r="AS5" s="2">
        <v>0</v>
      </c>
      <c r="AT5" s="2">
        <v>0</v>
      </c>
      <c r="AU5" s="2">
        <v>0</v>
      </c>
      <c r="AV5" s="2">
        <v>0</v>
      </c>
      <c r="AW5" s="2">
        <v>0</v>
      </c>
      <c r="AX5" s="2">
        <v>0</v>
      </c>
      <c r="AY5" s="2">
        <v>0</v>
      </c>
      <c r="AZ5" s="2">
        <v>0</v>
      </c>
      <c r="BA5" s="2">
        <v>0</v>
      </c>
      <c r="BB5" s="2">
        <v>0</v>
      </c>
      <c r="BC5" s="2">
        <v>0</v>
      </c>
      <c r="BD5" s="2">
        <v>0</v>
      </c>
      <c r="BE5" s="2">
        <v>0</v>
      </c>
      <c r="BF5" s="2">
        <v>0</v>
      </c>
      <c r="BG5" s="2">
        <v>0</v>
      </c>
      <c r="BH5" s="2">
        <v>0</v>
      </c>
      <c r="BI5" s="2">
        <v>0</v>
      </c>
      <c r="BJ5" s="2">
        <v>0</v>
      </c>
      <c r="BK5" s="2">
        <v>0</v>
      </c>
      <c r="BL5" s="2">
        <v>0</v>
      </c>
      <c r="BM5" s="2">
        <v>0</v>
      </c>
      <c r="BN5" s="2">
        <v>0</v>
      </c>
      <c r="BO5" s="2">
        <v>0</v>
      </c>
      <c r="BP5" s="2">
        <v>0</v>
      </c>
      <c r="BQ5" s="2">
        <v>0</v>
      </c>
      <c r="BR5" s="2">
        <v>0</v>
      </c>
      <c r="BS5" s="2">
        <v>0</v>
      </c>
      <c r="BT5" s="2">
        <v>0</v>
      </c>
      <c r="BU5" s="2">
        <v>0</v>
      </c>
      <c r="BV5" s="2">
        <v>0</v>
      </c>
      <c r="BW5" s="2">
        <v>0</v>
      </c>
      <c r="BX5" s="2">
        <v>0</v>
      </c>
      <c r="BY5" s="2">
        <v>0</v>
      </c>
      <c r="BZ5" s="2">
        <v>0</v>
      </c>
      <c r="CA5" s="2">
        <v>0</v>
      </c>
      <c r="CB5" s="2">
        <v>0</v>
      </c>
      <c r="CC5" s="2">
        <v>0</v>
      </c>
      <c r="CD5" s="2">
        <v>0</v>
      </c>
      <c r="CE5" s="2">
        <v>0</v>
      </c>
      <c r="CF5" s="2">
        <v>0</v>
      </c>
      <c r="CG5" s="2">
        <v>0</v>
      </c>
      <c r="CH5" s="2">
        <v>0</v>
      </c>
      <c r="CI5" s="2">
        <v>0</v>
      </c>
      <c r="CJ5" s="2">
        <v>0</v>
      </c>
      <c r="CK5" s="2">
        <v>0</v>
      </c>
      <c r="CL5" s="2">
        <v>0</v>
      </c>
      <c r="CM5" s="2">
        <v>0</v>
      </c>
      <c r="CN5" s="2">
        <v>0</v>
      </c>
      <c r="CO5" s="2">
        <v>0</v>
      </c>
      <c r="CP5" s="2">
        <v>0</v>
      </c>
      <c r="CQ5" s="2">
        <v>0</v>
      </c>
      <c r="CR5" s="2">
        <v>0</v>
      </c>
      <c r="CS5" s="2">
        <v>0</v>
      </c>
      <c r="CT5" s="2">
        <v>0</v>
      </c>
      <c r="CU5" s="2">
        <v>0</v>
      </c>
      <c r="CV5" s="2">
        <v>0</v>
      </c>
      <c r="CW5" s="2">
        <v>0</v>
      </c>
      <c r="CX5" s="2">
        <v>0</v>
      </c>
      <c r="CY5" s="2">
        <v>0</v>
      </c>
      <c r="CZ5" s="2">
        <v>0</v>
      </c>
      <c r="DA5" s="2">
        <v>0</v>
      </c>
      <c r="DB5" s="2">
        <v>0</v>
      </c>
      <c r="DC5" s="2">
        <v>0</v>
      </c>
      <c r="DD5" s="2">
        <v>0</v>
      </c>
      <c r="DE5" s="2">
        <f t="shared" ref="DE5:DE63" si="3">$G5*1000</f>
        <v>705</v>
      </c>
      <c r="DF5" s="2">
        <v>0</v>
      </c>
    </row>
    <row r="6" spans="1:110" ht="51" x14ac:dyDescent="0.2">
      <c r="A6" s="2" t="s">
        <v>0</v>
      </c>
      <c r="B6" s="2" t="s">
        <v>3</v>
      </c>
      <c r="C6" s="2" t="s">
        <v>236</v>
      </c>
      <c r="D6" s="2" t="s">
        <v>58</v>
      </c>
      <c r="E6" s="2" t="str">
        <f t="shared" si="1"/>
        <v>Schnittholz Balken Laubholz sägerau, kammergetrocknet (u=10%) - CH</v>
      </c>
      <c r="F6" s="2" t="s">
        <v>88</v>
      </c>
      <c r="G6" s="2">
        <f>HLOOKUP($H6,'LCIA Daten manuell'!$A$1:$CU$3,3,FALSE)/1000</f>
        <v>0.67500000000000004</v>
      </c>
      <c r="H6" s="2" t="str">
        <f t="shared" si="0"/>
        <v>sawnwood, beam, hardwood, raw, kiln dried (u=10%), at sawmill - CH</v>
      </c>
      <c r="I6" s="36">
        <f t="shared" ref="I6:I7" si="4">(1.29+0.228)*J6</f>
        <v>1.6546200000000002</v>
      </c>
      <c r="J6" s="36">
        <v>1.0900000000000001</v>
      </c>
      <c r="K6" s="36">
        <v>1</v>
      </c>
      <c r="L6" s="2">
        <f>-1.29*HLOOKUP("m3 Stufe1/m3 Produkt",$I$2:$K$103,ROW()-1,FALSE)</f>
        <v>-1.4061000000000001</v>
      </c>
      <c r="M6" s="2">
        <f>-0.228*HLOOKUP("m3 Stufe1/m3 Produkt",$I$2:$K$103,ROW()-1,FALSE)</f>
        <v>-0.24852000000000002</v>
      </c>
      <c r="N6" s="2">
        <v>0</v>
      </c>
      <c r="O6" s="2">
        <v>0</v>
      </c>
      <c r="P6" s="2">
        <v>0</v>
      </c>
      <c r="Q6" s="2">
        <f>-68.19*HLOOKUP("m3 Stufe1/m3 Produkt",$I$2:$K$103,ROW()-1,FALSE)</f>
        <v>-74.327100000000002</v>
      </c>
      <c r="R6" s="2">
        <v>0</v>
      </c>
      <c r="S6" s="2">
        <v>0</v>
      </c>
      <c r="T6" s="2">
        <v>0</v>
      </c>
      <c r="U6" s="2">
        <v>0</v>
      </c>
      <c r="V6" s="2">
        <v>0</v>
      </c>
      <c r="W6" s="2">
        <v>0</v>
      </c>
      <c r="X6" s="2">
        <v>0</v>
      </c>
      <c r="Y6" s="2">
        <v>0</v>
      </c>
      <c r="Z6" s="2">
        <v>0</v>
      </c>
      <c r="AA6" s="2">
        <v>0</v>
      </c>
      <c r="AB6" s="2">
        <v>0</v>
      </c>
      <c r="AC6" s="2">
        <v>0</v>
      </c>
      <c r="AD6" s="2">
        <v>0</v>
      </c>
      <c r="AE6" s="2">
        <v>0</v>
      </c>
      <c r="AF6" s="2">
        <v>0</v>
      </c>
      <c r="AG6" s="2">
        <v>0</v>
      </c>
      <c r="AH6" s="2">
        <v>0</v>
      </c>
      <c r="AI6" s="2">
        <v>0</v>
      </c>
      <c r="AJ6" s="2">
        <v>0</v>
      </c>
      <c r="AK6" s="2">
        <v>1</v>
      </c>
      <c r="AL6" s="2">
        <v>0</v>
      </c>
      <c r="AM6" s="2">
        <v>0</v>
      </c>
      <c r="AN6" s="37">
        <v>0</v>
      </c>
      <c r="AO6" s="2">
        <v>0</v>
      </c>
      <c r="AP6" s="2">
        <v>0</v>
      </c>
      <c r="AQ6" s="2">
        <v>0</v>
      </c>
      <c r="AR6" s="2">
        <v>0</v>
      </c>
      <c r="AS6" s="2">
        <v>0</v>
      </c>
      <c r="AT6" s="2">
        <v>0</v>
      </c>
      <c r="AU6" s="2">
        <v>0</v>
      </c>
      <c r="AV6" s="2">
        <v>0</v>
      </c>
      <c r="AW6" s="2">
        <v>0</v>
      </c>
      <c r="AX6" s="2">
        <v>0</v>
      </c>
      <c r="AY6" s="2">
        <v>0</v>
      </c>
      <c r="AZ6" s="2">
        <v>0</v>
      </c>
      <c r="BA6" s="2">
        <v>0</v>
      </c>
      <c r="BB6" s="2">
        <v>0</v>
      </c>
      <c r="BC6" s="2">
        <v>0</v>
      </c>
      <c r="BD6" s="2">
        <v>0</v>
      </c>
      <c r="BE6" s="2">
        <v>0</v>
      </c>
      <c r="BF6" s="2">
        <v>0</v>
      </c>
      <c r="BG6" s="2">
        <v>0</v>
      </c>
      <c r="BH6" s="2">
        <v>0</v>
      </c>
      <c r="BI6" s="2">
        <v>0</v>
      </c>
      <c r="BJ6" s="2">
        <v>0</v>
      </c>
      <c r="BK6" s="2">
        <v>0</v>
      </c>
      <c r="BL6" s="2">
        <v>0</v>
      </c>
      <c r="BM6" s="2">
        <v>0</v>
      </c>
      <c r="BN6" s="2">
        <v>0</v>
      </c>
      <c r="BO6" s="2">
        <v>0</v>
      </c>
      <c r="BP6" s="2">
        <v>0</v>
      </c>
      <c r="BQ6" s="2">
        <v>0</v>
      </c>
      <c r="BR6" s="2">
        <v>0</v>
      </c>
      <c r="BS6" s="2">
        <v>0</v>
      </c>
      <c r="BT6" s="2">
        <v>0</v>
      </c>
      <c r="BU6" s="2">
        <v>0</v>
      </c>
      <c r="BV6" s="2">
        <v>0</v>
      </c>
      <c r="BW6" s="2">
        <v>0</v>
      </c>
      <c r="BX6" s="2">
        <v>0</v>
      </c>
      <c r="BY6" s="2">
        <v>0</v>
      </c>
      <c r="BZ6" s="2">
        <v>0</v>
      </c>
      <c r="CA6" s="2">
        <v>0</v>
      </c>
      <c r="CB6" s="2">
        <v>0</v>
      </c>
      <c r="CC6" s="2">
        <v>0</v>
      </c>
      <c r="CD6" s="2">
        <v>0</v>
      </c>
      <c r="CE6" s="2">
        <v>0</v>
      </c>
      <c r="CF6" s="2">
        <v>0</v>
      </c>
      <c r="CG6" s="2">
        <v>0</v>
      </c>
      <c r="CH6" s="2">
        <v>0</v>
      </c>
      <c r="CI6" s="2">
        <v>0</v>
      </c>
      <c r="CJ6" s="2">
        <v>0</v>
      </c>
      <c r="CK6" s="2">
        <v>0</v>
      </c>
      <c r="CL6" s="2">
        <v>0</v>
      </c>
      <c r="CM6" s="2">
        <v>0</v>
      </c>
      <c r="CN6" s="2">
        <v>0</v>
      </c>
      <c r="CO6" s="2">
        <v>0</v>
      </c>
      <c r="CP6" s="2">
        <v>0</v>
      </c>
      <c r="CQ6" s="2">
        <v>0</v>
      </c>
      <c r="CR6" s="2">
        <v>0</v>
      </c>
      <c r="CS6" s="2">
        <v>0</v>
      </c>
      <c r="CT6" s="2">
        <v>0</v>
      </c>
      <c r="CU6" s="2">
        <v>0</v>
      </c>
      <c r="CV6" s="2">
        <v>0</v>
      </c>
      <c r="CW6" s="2">
        <v>0</v>
      </c>
      <c r="CX6" s="2">
        <v>0</v>
      </c>
      <c r="CY6" s="2">
        <v>0</v>
      </c>
      <c r="CZ6" s="2">
        <v>0</v>
      </c>
      <c r="DA6" s="2">
        <v>0</v>
      </c>
      <c r="DB6" s="2">
        <v>0</v>
      </c>
      <c r="DC6" s="2">
        <v>0</v>
      </c>
      <c r="DD6" s="2">
        <v>0</v>
      </c>
      <c r="DE6" s="2">
        <f t="shared" si="3"/>
        <v>675</v>
      </c>
      <c r="DF6" s="2">
        <v>0</v>
      </c>
    </row>
    <row r="7" spans="1:110" ht="51" x14ac:dyDescent="0.2">
      <c r="A7" s="2" t="s">
        <v>0</v>
      </c>
      <c r="B7" s="2" t="s">
        <v>3</v>
      </c>
      <c r="C7" s="2" t="s">
        <v>235</v>
      </c>
      <c r="D7" s="2" t="s">
        <v>58</v>
      </c>
      <c r="E7" s="2" t="str">
        <f t="shared" si="1"/>
        <v>Schnittholz Balken Laubholz sägerau, kammergetrocknet (u=20%) - CH</v>
      </c>
      <c r="F7" s="2" t="s">
        <v>88</v>
      </c>
      <c r="G7" s="2">
        <f>HLOOKUP($H7,'LCIA Daten manuell'!$A$1:$CU$3,3,FALSE)/1000</f>
        <v>0.70499999999999996</v>
      </c>
      <c r="H7" s="2" t="str">
        <f t="shared" si="0"/>
        <v>sawnwood, beam, hardwood, raw, kiln dried (u=20%), at sawmill - CH</v>
      </c>
      <c r="I7" s="36">
        <f t="shared" si="4"/>
        <v>1.5787200000000001</v>
      </c>
      <c r="J7" s="36">
        <v>1.04</v>
      </c>
      <c r="K7" s="36">
        <v>1</v>
      </c>
      <c r="L7" s="2">
        <f>-1.29*HLOOKUP("m3 Stufe1/m3 Produkt",$I$2:$K$103,ROW()-1,FALSE)</f>
        <v>-1.3416000000000001</v>
      </c>
      <c r="M7" s="2">
        <f>-0.228*HLOOKUP("m3 Stufe1/m3 Produkt",$I$2:$K$103,ROW()-1,FALSE)</f>
        <v>-0.23712000000000003</v>
      </c>
      <c r="N7" s="2">
        <v>0</v>
      </c>
      <c r="O7" s="2">
        <v>0</v>
      </c>
      <c r="P7" s="2">
        <v>0</v>
      </c>
      <c r="Q7" s="2">
        <f>-68.19*HLOOKUP("m3 Stufe1/m3 Produkt",$I$2:$K$103,ROW()-1,FALSE)</f>
        <v>-70.917599999999993</v>
      </c>
      <c r="R7" s="2">
        <v>0</v>
      </c>
      <c r="S7" s="2">
        <v>0</v>
      </c>
      <c r="T7" s="2">
        <v>0</v>
      </c>
      <c r="U7" s="2">
        <v>0</v>
      </c>
      <c r="V7" s="2">
        <v>0</v>
      </c>
      <c r="W7" s="2">
        <v>0</v>
      </c>
      <c r="X7" s="2">
        <v>0</v>
      </c>
      <c r="Y7" s="2">
        <v>0</v>
      </c>
      <c r="Z7" s="2">
        <v>0</v>
      </c>
      <c r="AA7" s="2">
        <v>0</v>
      </c>
      <c r="AB7" s="2">
        <v>0</v>
      </c>
      <c r="AC7" s="2">
        <v>0</v>
      </c>
      <c r="AD7" s="2">
        <v>0</v>
      </c>
      <c r="AE7" s="2">
        <v>0</v>
      </c>
      <c r="AF7" s="2">
        <v>0</v>
      </c>
      <c r="AG7" s="2">
        <v>0</v>
      </c>
      <c r="AH7" s="2">
        <v>0</v>
      </c>
      <c r="AI7" s="2">
        <v>0</v>
      </c>
      <c r="AJ7" s="2">
        <v>0</v>
      </c>
      <c r="AK7" s="2">
        <v>0</v>
      </c>
      <c r="AL7" s="2">
        <v>0</v>
      </c>
      <c r="AM7" s="2">
        <v>1</v>
      </c>
      <c r="AN7" s="37">
        <v>0</v>
      </c>
      <c r="AO7" s="2">
        <v>0</v>
      </c>
      <c r="AP7" s="2">
        <v>0</v>
      </c>
      <c r="AQ7" s="2">
        <v>0</v>
      </c>
      <c r="AR7" s="2">
        <v>0</v>
      </c>
      <c r="AS7" s="2">
        <v>0</v>
      </c>
      <c r="AT7" s="2">
        <v>0</v>
      </c>
      <c r="AU7" s="2">
        <v>0</v>
      </c>
      <c r="AV7" s="2">
        <v>0</v>
      </c>
      <c r="AW7" s="2">
        <v>0</v>
      </c>
      <c r="AX7" s="2">
        <v>0</v>
      </c>
      <c r="AY7" s="2">
        <v>0</v>
      </c>
      <c r="AZ7" s="2">
        <v>0</v>
      </c>
      <c r="BA7" s="2">
        <v>0</v>
      </c>
      <c r="BB7" s="2">
        <v>0</v>
      </c>
      <c r="BC7" s="2">
        <v>0</v>
      </c>
      <c r="BD7" s="2">
        <v>0</v>
      </c>
      <c r="BE7" s="2">
        <v>0</v>
      </c>
      <c r="BF7" s="2">
        <v>0</v>
      </c>
      <c r="BG7" s="2">
        <v>0</v>
      </c>
      <c r="BH7" s="2">
        <v>0</v>
      </c>
      <c r="BI7" s="2">
        <v>0</v>
      </c>
      <c r="BJ7" s="2">
        <v>0</v>
      </c>
      <c r="BK7" s="2">
        <v>0</v>
      </c>
      <c r="BL7" s="2">
        <v>0</v>
      </c>
      <c r="BM7" s="2">
        <v>0</v>
      </c>
      <c r="BN7" s="2">
        <v>0</v>
      </c>
      <c r="BO7" s="2">
        <v>0</v>
      </c>
      <c r="BP7" s="2">
        <v>0</v>
      </c>
      <c r="BQ7" s="2">
        <v>0</v>
      </c>
      <c r="BR7" s="2">
        <v>0</v>
      </c>
      <c r="BS7" s="2">
        <v>0</v>
      </c>
      <c r="BT7" s="2">
        <v>0</v>
      </c>
      <c r="BU7" s="2">
        <v>0</v>
      </c>
      <c r="BV7" s="2">
        <v>0</v>
      </c>
      <c r="BW7" s="2">
        <v>0</v>
      </c>
      <c r="BX7" s="2">
        <v>0</v>
      </c>
      <c r="BY7" s="2">
        <v>0</v>
      </c>
      <c r="BZ7" s="2">
        <v>0</v>
      </c>
      <c r="CA7" s="2">
        <v>0</v>
      </c>
      <c r="CB7" s="2">
        <v>0</v>
      </c>
      <c r="CC7" s="2">
        <v>0</v>
      </c>
      <c r="CD7" s="2">
        <v>0</v>
      </c>
      <c r="CE7" s="2">
        <v>0</v>
      </c>
      <c r="CF7" s="2">
        <v>0</v>
      </c>
      <c r="CG7" s="2">
        <v>0</v>
      </c>
      <c r="CH7" s="2">
        <v>0</v>
      </c>
      <c r="CI7" s="2">
        <v>0</v>
      </c>
      <c r="CJ7" s="2">
        <v>0</v>
      </c>
      <c r="CK7" s="2">
        <v>0</v>
      </c>
      <c r="CL7" s="2">
        <v>0</v>
      </c>
      <c r="CM7" s="2">
        <v>0</v>
      </c>
      <c r="CN7" s="2">
        <v>0</v>
      </c>
      <c r="CO7" s="2">
        <v>0</v>
      </c>
      <c r="CP7" s="2">
        <v>0</v>
      </c>
      <c r="CQ7" s="2">
        <v>0</v>
      </c>
      <c r="CR7" s="2">
        <v>0</v>
      </c>
      <c r="CS7" s="2">
        <v>0</v>
      </c>
      <c r="CT7" s="2">
        <v>0</v>
      </c>
      <c r="CU7" s="2">
        <v>0</v>
      </c>
      <c r="CV7" s="2">
        <v>0</v>
      </c>
      <c r="CW7" s="2">
        <v>0</v>
      </c>
      <c r="CX7" s="2">
        <v>0</v>
      </c>
      <c r="CY7" s="2">
        <v>0</v>
      </c>
      <c r="CZ7" s="2">
        <v>0</v>
      </c>
      <c r="DA7" s="2">
        <v>0</v>
      </c>
      <c r="DB7" s="2">
        <v>0</v>
      </c>
      <c r="DC7" s="2">
        <v>0</v>
      </c>
      <c r="DD7" s="2">
        <v>0</v>
      </c>
      <c r="DE7" s="2">
        <f t="shared" si="3"/>
        <v>705</v>
      </c>
      <c r="DF7" s="2">
        <v>0</v>
      </c>
    </row>
    <row r="8" spans="1:110" ht="51" x14ac:dyDescent="0.2">
      <c r="A8" s="2" t="s">
        <v>0</v>
      </c>
      <c r="B8" s="2" t="s">
        <v>3</v>
      </c>
      <c r="C8" s="2" t="s">
        <v>234</v>
      </c>
      <c r="D8" s="2" t="s">
        <v>58</v>
      </c>
      <c r="E8" s="2" t="str">
        <f t="shared" si="1"/>
        <v>Schnittholz Balken Laubholz sägerau, luftgetrocknet (u=20%) - CH</v>
      </c>
      <c r="F8" s="2" t="s">
        <v>88</v>
      </c>
      <c r="G8" s="2">
        <f>HLOOKUP($H8,'LCIA Daten manuell'!$A$1:$CU$3,3,FALSE)/1000</f>
        <v>0.70499999999999996</v>
      </c>
      <c r="H8" s="2" t="str">
        <f t="shared" si="0"/>
        <v>sawnwood, beam, hardwood, raw, air dried (u=20%), at sawmill - CH</v>
      </c>
      <c r="I8" s="36">
        <f>(1.29+0.228)*J8</f>
        <v>1.5787200000000001</v>
      </c>
      <c r="J8" s="36">
        <v>1.04</v>
      </c>
      <c r="K8" s="36">
        <v>1</v>
      </c>
      <c r="L8" s="2">
        <f>-1.29*HLOOKUP("m3 Stufe1/m3 Produkt",$I$2:$K$103,ROW()-1,FALSE)</f>
        <v>-1.3416000000000001</v>
      </c>
      <c r="M8" s="2">
        <f>-0.228*HLOOKUP("m3 Stufe1/m3 Produkt",$I$2:$K$103,ROW()-1,FALSE)</f>
        <v>-0.23712000000000003</v>
      </c>
      <c r="N8" s="2">
        <v>0</v>
      </c>
      <c r="O8" s="2">
        <v>0</v>
      </c>
      <c r="P8" s="2">
        <v>0</v>
      </c>
      <c r="Q8" s="2">
        <f>-68.19*HLOOKUP("m3 Stufe1/m3 Produkt",$I$2:$K$103,ROW()-1,FALSE)</f>
        <v>-70.917599999999993</v>
      </c>
      <c r="R8" s="2">
        <v>0</v>
      </c>
      <c r="S8" s="2">
        <v>0</v>
      </c>
      <c r="T8" s="2">
        <v>0</v>
      </c>
      <c r="U8" s="2">
        <v>0</v>
      </c>
      <c r="V8" s="2">
        <v>0</v>
      </c>
      <c r="W8" s="2">
        <v>0</v>
      </c>
      <c r="X8" s="2">
        <v>1</v>
      </c>
      <c r="Y8" s="2">
        <v>0</v>
      </c>
      <c r="Z8" s="2">
        <v>0</v>
      </c>
      <c r="AA8" s="2">
        <v>0</v>
      </c>
      <c r="AB8" s="2">
        <v>0</v>
      </c>
      <c r="AC8" s="2">
        <v>0</v>
      </c>
      <c r="AD8" s="2">
        <v>0</v>
      </c>
      <c r="AE8" s="2">
        <v>0</v>
      </c>
      <c r="AF8" s="2">
        <v>0</v>
      </c>
      <c r="AG8" s="2">
        <v>0</v>
      </c>
      <c r="AH8" s="2">
        <v>0</v>
      </c>
      <c r="AI8" s="2">
        <v>0</v>
      </c>
      <c r="AJ8" s="2">
        <v>0</v>
      </c>
      <c r="AK8" s="2">
        <v>0</v>
      </c>
      <c r="AL8" s="2">
        <v>0</v>
      </c>
      <c r="AM8" s="2">
        <v>0</v>
      </c>
      <c r="AN8" s="37">
        <v>0</v>
      </c>
      <c r="AO8" s="2">
        <v>0</v>
      </c>
      <c r="AP8" s="2">
        <v>0</v>
      </c>
      <c r="AQ8" s="2">
        <v>0</v>
      </c>
      <c r="AR8" s="2">
        <v>0</v>
      </c>
      <c r="AS8" s="2">
        <v>0</v>
      </c>
      <c r="AT8" s="2">
        <v>0</v>
      </c>
      <c r="AU8" s="2">
        <v>0</v>
      </c>
      <c r="AV8" s="2">
        <v>0</v>
      </c>
      <c r="AW8" s="2">
        <v>0</v>
      </c>
      <c r="AX8" s="2">
        <v>0</v>
      </c>
      <c r="AY8" s="2">
        <v>0</v>
      </c>
      <c r="AZ8" s="2">
        <v>0</v>
      </c>
      <c r="BA8" s="2">
        <v>0</v>
      </c>
      <c r="BB8" s="2">
        <v>0</v>
      </c>
      <c r="BC8" s="2">
        <v>0</v>
      </c>
      <c r="BD8" s="2">
        <v>0</v>
      </c>
      <c r="BE8" s="2">
        <v>0</v>
      </c>
      <c r="BF8" s="2">
        <v>0</v>
      </c>
      <c r="BG8" s="2">
        <v>0</v>
      </c>
      <c r="BH8" s="2">
        <v>0</v>
      </c>
      <c r="BI8" s="2">
        <v>0</v>
      </c>
      <c r="BJ8" s="2">
        <v>0</v>
      </c>
      <c r="BK8" s="2">
        <v>0</v>
      </c>
      <c r="BL8" s="2">
        <v>0</v>
      </c>
      <c r="BM8" s="2">
        <v>0</v>
      </c>
      <c r="BN8" s="2">
        <v>0</v>
      </c>
      <c r="BO8" s="2">
        <v>0</v>
      </c>
      <c r="BP8" s="2">
        <v>0</v>
      </c>
      <c r="BQ8" s="2">
        <v>0</v>
      </c>
      <c r="BR8" s="2">
        <v>0</v>
      </c>
      <c r="BS8" s="2">
        <v>0</v>
      </c>
      <c r="BT8" s="2">
        <v>0</v>
      </c>
      <c r="BU8" s="2">
        <v>0</v>
      </c>
      <c r="BV8" s="2">
        <v>0</v>
      </c>
      <c r="BW8" s="2">
        <v>0</v>
      </c>
      <c r="BX8" s="2">
        <v>0</v>
      </c>
      <c r="BY8" s="2">
        <v>0</v>
      </c>
      <c r="BZ8" s="2">
        <v>0</v>
      </c>
      <c r="CA8" s="2">
        <v>0</v>
      </c>
      <c r="CB8" s="2">
        <v>0</v>
      </c>
      <c r="CC8" s="2">
        <v>0</v>
      </c>
      <c r="CD8" s="2">
        <v>0</v>
      </c>
      <c r="CE8" s="2">
        <v>0</v>
      </c>
      <c r="CF8" s="2">
        <v>0</v>
      </c>
      <c r="CG8" s="2">
        <v>0</v>
      </c>
      <c r="CH8" s="2">
        <v>0</v>
      </c>
      <c r="CI8" s="2">
        <v>0</v>
      </c>
      <c r="CJ8" s="2">
        <v>0</v>
      </c>
      <c r="CK8" s="2">
        <v>0</v>
      </c>
      <c r="CL8" s="2">
        <v>0</v>
      </c>
      <c r="CM8" s="2">
        <v>0</v>
      </c>
      <c r="CN8" s="2">
        <v>0</v>
      </c>
      <c r="CO8" s="2">
        <v>0</v>
      </c>
      <c r="CP8" s="2">
        <v>0</v>
      </c>
      <c r="CQ8" s="2">
        <v>0</v>
      </c>
      <c r="CR8" s="2">
        <v>0</v>
      </c>
      <c r="CS8" s="2">
        <v>0</v>
      </c>
      <c r="CT8" s="2">
        <v>0</v>
      </c>
      <c r="CU8" s="2">
        <v>0</v>
      </c>
      <c r="CV8" s="2">
        <v>0</v>
      </c>
      <c r="CW8" s="2">
        <v>0</v>
      </c>
      <c r="CX8" s="2">
        <v>0</v>
      </c>
      <c r="CY8" s="2">
        <v>0</v>
      </c>
      <c r="CZ8" s="2">
        <v>0</v>
      </c>
      <c r="DA8" s="2">
        <v>0</v>
      </c>
      <c r="DB8" s="2">
        <v>0</v>
      </c>
      <c r="DC8" s="2">
        <v>0</v>
      </c>
      <c r="DD8" s="2">
        <v>0</v>
      </c>
      <c r="DE8" s="2">
        <f t="shared" si="3"/>
        <v>705</v>
      </c>
      <c r="DF8" s="2">
        <v>0</v>
      </c>
    </row>
    <row r="9" spans="1:110" ht="51" x14ac:dyDescent="0.2">
      <c r="A9" s="2" t="s">
        <v>0</v>
      </c>
      <c r="B9" s="2" t="s">
        <v>3</v>
      </c>
      <c r="C9" s="2" t="s">
        <v>237</v>
      </c>
      <c r="D9" s="2" t="s">
        <v>59</v>
      </c>
      <c r="E9" s="2" t="str">
        <f t="shared" si="1"/>
        <v>Schnittholz Balken Laubholz gehobelt, kammergetrocknet, (u=10%) - RER</v>
      </c>
      <c r="F9" s="2" t="s">
        <v>88</v>
      </c>
      <c r="G9" s="2">
        <f>HLOOKUP($H9,'LCIA Daten manuell'!$A$1:$CU$3,3,FALSE)/1000</f>
        <v>0.67500000000000004</v>
      </c>
      <c r="H9" s="2" t="str">
        <f t="shared" si="0"/>
        <v>sawnwood, beam, hardwood, dried (u=10%), planed, at sawmill - RER</v>
      </c>
      <c r="I9" s="36">
        <f>1.52*J9</f>
        <v>1.7396400000000001</v>
      </c>
      <c r="J9" s="36">
        <f>1.09*K9</f>
        <v>1.1445000000000001</v>
      </c>
      <c r="K9" s="36">
        <v>1.05</v>
      </c>
      <c r="L9" s="2">
        <v>0</v>
      </c>
      <c r="M9" s="2">
        <f>-HLOOKUP("m3 Rundholz/m3 Produkt",$I$2:$K$103,ROW()-1,FALSE)</f>
        <v>-1.7396400000000001</v>
      </c>
      <c r="N9" s="2">
        <v>0</v>
      </c>
      <c r="O9" s="2">
        <v>0</v>
      </c>
      <c r="P9" s="2">
        <f>-68.19*HLOOKUP("m3 Stufe1/m3 Produkt",$I$2:$K$103,ROW()-1,FALSE)</f>
        <v>-78.043455000000009</v>
      </c>
      <c r="Q9" s="2">
        <v>0</v>
      </c>
      <c r="R9" s="2">
        <v>0</v>
      </c>
      <c r="S9" s="2">
        <v>0</v>
      </c>
      <c r="T9" s="2">
        <v>0</v>
      </c>
      <c r="U9" s="2">
        <v>0</v>
      </c>
      <c r="V9" s="2">
        <v>0</v>
      </c>
      <c r="W9" s="2">
        <v>0</v>
      </c>
      <c r="X9" s="2">
        <v>0</v>
      </c>
      <c r="Y9" s="2">
        <v>0</v>
      </c>
      <c r="Z9" s="2">
        <v>0</v>
      </c>
      <c r="AA9" s="2">
        <v>1</v>
      </c>
      <c r="AB9" s="2">
        <v>0</v>
      </c>
      <c r="AC9" s="2">
        <v>0</v>
      </c>
      <c r="AD9" s="2">
        <v>0</v>
      </c>
      <c r="AE9" s="2">
        <v>0</v>
      </c>
      <c r="AF9" s="2">
        <v>0</v>
      </c>
      <c r="AG9" s="2">
        <v>0</v>
      </c>
      <c r="AH9" s="2">
        <v>0</v>
      </c>
      <c r="AI9" s="2">
        <v>0</v>
      </c>
      <c r="AJ9" s="2">
        <v>0</v>
      </c>
      <c r="AK9" s="2">
        <v>0</v>
      </c>
      <c r="AL9" s="2">
        <v>0</v>
      </c>
      <c r="AM9" s="2">
        <v>0</v>
      </c>
      <c r="AN9" s="37">
        <v>0</v>
      </c>
      <c r="AO9" s="2">
        <v>0</v>
      </c>
      <c r="AP9" s="2">
        <v>0</v>
      </c>
      <c r="AQ9" s="2">
        <v>0</v>
      </c>
      <c r="AR9" s="2">
        <v>0</v>
      </c>
      <c r="AS9" s="2">
        <v>0</v>
      </c>
      <c r="AT9" s="2">
        <v>0</v>
      </c>
      <c r="AU9" s="2">
        <v>0</v>
      </c>
      <c r="AV9" s="2">
        <v>0</v>
      </c>
      <c r="AW9" s="2">
        <v>0</v>
      </c>
      <c r="AX9" s="2">
        <v>0</v>
      </c>
      <c r="AY9" s="2">
        <v>0</v>
      </c>
      <c r="AZ9" s="2">
        <v>0</v>
      </c>
      <c r="BA9" s="2">
        <v>0</v>
      </c>
      <c r="BB9" s="2">
        <v>0</v>
      </c>
      <c r="BC9" s="2">
        <v>0</v>
      </c>
      <c r="BD9" s="2">
        <v>0</v>
      </c>
      <c r="BE9" s="2">
        <v>0</v>
      </c>
      <c r="BF9" s="2">
        <v>0</v>
      </c>
      <c r="BG9" s="2">
        <v>0</v>
      </c>
      <c r="BH9" s="2">
        <v>0</v>
      </c>
      <c r="BI9" s="2">
        <v>0</v>
      </c>
      <c r="BJ9" s="2">
        <v>0</v>
      </c>
      <c r="BK9" s="2">
        <v>0</v>
      </c>
      <c r="BL9" s="2">
        <v>0</v>
      </c>
      <c r="BM9" s="2">
        <v>0</v>
      </c>
      <c r="BN9" s="2">
        <v>0</v>
      </c>
      <c r="BO9" s="2">
        <v>0</v>
      </c>
      <c r="BP9" s="2">
        <v>0</v>
      </c>
      <c r="BQ9" s="2">
        <v>0</v>
      </c>
      <c r="BR9" s="2">
        <v>0</v>
      </c>
      <c r="BS9" s="2">
        <v>0</v>
      </c>
      <c r="BT9" s="2">
        <v>0</v>
      </c>
      <c r="BU9" s="2">
        <v>0</v>
      </c>
      <c r="BV9" s="2">
        <v>0</v>
      </c>
      <c r="BW9" s="2">
        <v>0</v>
      </c>
      <c r="BX9" s="2">
        <v>0</v>
      </c>
      <c r="BY9" s="2">
        <v>0</v>
      </c>
      <c r="BZ9" s="2">
        <v>0</v>
      </c>
      <c r="CA9" s="2">
        <v>0</v>
      </c>
      <c r="CB9" s="2">
        <v>0</v>
      </c>
      <c r="CC9" s="2">
        <v>0</v>
      </c>
      <c r="CD9" s="2">
        <v>0</v>
      </c>
      <c r="CE9" s="2">
        <v>0</v>
      </c>
      <c r="CF9" s="2">
        <v>0</v>
      </c>
      <c r="CG9" s="2">
        <v>0</v>
      </c>
      <c r="CH9" s="2">
        <v>0</v>
      </c>
      <c r="CI9" s="2">
        <v>0</v>
      </c>
      <c r="CJ9" s="2">
        <v>0</v>
      </c>
      <c r="CK9" s="2">
        <v>0</v>
      </c>
      <c r="CL9" s="2">
        <v>0</v>
      </c>
      <c r="CM9" s="2">
        <v>0</v>
      </c>
      <c r="CN9" s="2">
        <v>0</v>
      </c>
      <c r="CO9" s="2">
        <v>0</v>
      </c>
      <c r="CP9" s="2">
        <v>0</v>
      </c>
      <c r="CQ9" s="2">
        <v>0</v>
      </c>
      <c r="CR9" s="2">
        <v>0</v>
      </c>
      <c r="CS9" s="2">
        <v>0</v>
      </c>
      <c r="CT9" s="2">
        <v>0</v>
      </c>
      <c r="CU9" s="2">
        <v>0</v>
      </c>
      <c r="CV9" s="2">
        <v>0</v>
      </c>
      <c r="CW9" s="2">
        <v>0</v>
      </c>
      <c r="CX9" s="2">
        <v>0</v>
      </c>
      <c r="CY9" s="2">
        <v>0</v>
      </c>
      <c r="CZ9" s="2">
        <v>0</v>
      </c>
      <c r="DA9" s="2">
        <v>0</v>
      </c>
      <c r="DB9" s="2">
        <v>0</v>
      </c>
      <c r="DC9" s="2">
        <v>0</v>
      </c>
      <c r="DD9" s="2">
        <v>0</v>
      </c>
      <c r="DE9" s="2">
        <f t="shared" si="3"/>
        <v>675</v>
      </c>
      <c r="DF9" s="2">
        <v>0</v>
      </c>
    </row>
    <row r="10" spans="1:110" ht="34" x14ac:dyDescent="0.2">
      <c r="A10" s="2" t="s">
        <v>0</v>
      </c>
      <c r="B10" s="2" t="s">
        <v>3</v>
      </c>
      <c r="C10" s="2" t="s">
        <v>238</v>
      </c>
      <c r="D10" s="2" t="s">
        <v>59</v>
      </c>
      <c r="E10" s="2" t="str">
        <f t="shared" si="1"/>
        <v>Schnittholz Balken Laubholz gehobelt, getrocknet, (u=20%) - RER</v>
      </c>
      <c r="F10" s="2" t="s">
        <v>88</v>
      </c>
      <c r="G10" s="2">
        <f>HLOOKUP($H10,'LCIA Daten manuell'!$A$1:$CU$3,3,FALSE)/1000</f>
        <v>0.70499999999999996</v>
      </c>
      <c r="H10" s="2" t="str">
        <f t="shared" si="0"/>
        <v>sawnwood, beam, hardwood, dried (u=20%), planed, at sawmill - RER</v>
      </c>
      <c r="I10" s="36">
        <f>1.52*J10</f>
        <v>1.6550976000000002</v>
      </c>
      <c r="J10" s="36">
        <f>1.04*K10</f>
        <v>1.0888800000000001</v>
      </c>
      <c r="K10" s="36">
        <f>0.209+0.838</f>
        <v>1.0469999999999999</v>
      </c>
      <c r="L10" s="2">
        <v>0</v>
      </c>
      <c r="M10" s="2">
        <f>-HLOOKUP("m3 Rundholz/m3 Produkt",$I$2:$K$103,ROW()-1,FALSE)</f>
        <v>-1.6550976000000002</v>
      </c>
      <c r="N10" s="2">
        <v>0</v>
      </c>
      <c r="O10" s="2">
        <v>0</v>
      </c>
      <c r="P10" s="2">
        <f>-68.19*HLOOKUP("m3 Stufe1/m3 Produkt",$I$2:$K$103,ROW()-1,FALSE)</f>
        <v>-74.2507272</v>
      </c>
      <c r="Q10" s="2">
        <v>0</v>
      </c>
      <c r="R10" s="2">
        <v>0</v>
      </c>
      <c r="S10" s="2">
        <v>0</v>
      </c>
      <c r="T10" s="2">
        <v>0</v>
      </c>
      <c r="U10" s="2">
        <v>1</v>
      </c>
      <c r="V10" s="2">
        <v>0</v>
      </c>
      <c r="W10" s="2">
        <v>0</v>
      </c>
      <c r="X10" s="2">
        <v>0</v>
      </c>
      <c r="Y10" s="2">
        <v>0</v>
      </c>
      <c r="Z10" s="2">
        <v>0</v>
      </c>
      <c r="AA10" s="2">
        <v>0</v>
      </c>
      <c r="AB10" s="2">
        <v>0</v>
      </c>
      <c r="AC10" s="2">
        <v>0</v>
      </c>
      <c r="AD10" s="2">
        <v>0</v>
      </c>
      <c r="AE10" s="2">
        <v>0</v>
      </c>
      <c r="AF10" s="2">
        <v>0</v>
      </c>
      <c r="AG10" s="2">
        <v>0</v>
      </c>
      <c r="AH10" s="2">
        <v>0</v>
      </c>
      <c r="AI10" s="2">
        <v>0</v>
      </c>
      <c r="AJ10" s="2">
        <v>0</v>
      </c>
      <c r="AK10" s="2">
        <v>0</v>
      </c>
      <c r="AL10" s="2">
        <v>0</v>
      </c>
      <c r="AM10" s="2">
        <v>0</v>
      </c>
      <c r="AN10" s="37">
        <v>0</v>
      </c>
      <c r="AO10" s="2">
        <v>0</v>
      </c>
      <c r="AP10" s="2">
        <v>0</v>
      </c>
      <c r="AQ10" s="2">
        <v>0</v>
      </c>
      <c r="AR10" s="2">
        <v>0</v>
      </c>
      <c r="AS10" s="2">
        <v>0</v>
      </c>
      <c r="AT10" s="2">
        <v>0</v>
      </c>
      <c r="AU10" s="2">
        <v>0</v>
      </c>
      <c r="AV10" s="2">
        <v>0</v>
      </c>
      <c r="AW10" s="2">
        <v>0</v>
      </c>
      <c r="AX10" s="2">
        <v>0</v>
      </c>
      <c r="AY10" s="2">
        <v>0</v>
      </c>
      <c r="AZ10" s="2">
        <v>0</v>
      </c>
      <c r="BA10" s="2">
        <v>0</v>
      </c>
      <c r="BB10" s="2">
        <v>0</v>
      </c>
      <c r="BC10" s="2">
        <v>0</v>
      </c>
      <c r="BD10" s="2">
        <v>0</v>
      </c>
      <c r="BE10" s="2">
        <v>0</v>
      </c>
      <c r="BF10" s="2">
        <v>0</v>
      </c>
      <c r="BG10" s="2">
        <v>0</v>
      </c>
      <c r="BH10" s="2">
        <v>0</v>
      </c>
      <c r="BI10" s="2">
        <v>0</v>
      </c>
      <c r="BJ10" s="2">
        <v>0</v>
      </c>
      <c r="BK10" s="2">
        <v>0</v>
      </c>
      <c r="BL10" s="2">
        <v>0</v>
      </c>
      <c r="BM10" s="2">
        <v>0</v>
      </c>
      <c r="BN10" s="2">
        <v>0</v>
      </c>
      <c r="BO10" s="2">
        <v>0</v>
      </c>
      <c r="BP10" s="2">
        <v>0</v>
      </c>
      <c r="BQ10" s="2">
        <v>0</v>
      </c>
      <c r="BR10" s="2">
        <v>0</v>
      </c>
      <c r="BS10" s="2">
        <v>0</v>
      </c>
      <c r="BT10" s="2">
        <v>0</v>
      </c>
      <c r="BU10" s="2">
        <v>0</v>
      </c>
      <c r="BV10" s="2">
        <v>0</v>
      </c>
      <c r="BW10" s="2">
        <v>0</v>
      </c>
      <c r="BX10" s="2">
        <v>0</v>
      </c>
      <c r="BY10" s="2">
        <v>0</v>
      </c>
      <c r="BZ10" s="2">
        <v>0</v>
      </c>
      <c r="CA10" s="2">
        <v>0</v>
      </c>
      <c r="CB10" s="2">
        <v>0</v>
      </c>
      <c r="CC10" s="2">
        <v>0</v>
      </c>
      <c r="CD10" s="2">
        <v>0</v>
      </c>
      <c r="CE10" s="2">
        <v>0</v>
      </c>
      <c r="CF10" s="2">
        <v>0</v>
      </c>
      <c r="CG10" s="2">
        <v>0</v>
      </c>
      <c r="CH10" s="2">
        <v>0</v>
      </c>
      <c r="CI10" s="2">
        <v>0</v>
      </c>
      <c r="CJ10" s="2">
        <v>0</v>
      </c>
      <c r="CK10" s="2">
        <v>0</v>
      </c>
      <c r="CL10" s="2">
        <v>0</v>
      </c>
      <c r="CM10" s="2">
        <v>0</v>
      </c>
      <c r="CN10" s="2">
        <v>0</v>
      </c>
      <c r="CO10" s="2">
        <v>0</v>
      </c>
      <c r="CP10" s="2">
        <v>0</v>
      </c>
      <c r="CQ10" s="2">
        <v>0</v>
      </c>
      <c r="CR10" s="2">
        <v>0</v>
      </c>
      <c r="CS10" s="2">
        <v>0</v>
      </c>
      <c r="CT10" s="2">
        <v>0</v>
      </c>
      <c r="CU10" s="2">
        <v>0</v>
      </c>
      <c r="CV10" s="2">
        <v>0</v>
      </c>
      <c r="CW10" s="2">
        <v>0</v>
      </c>
      <c r="CX10" s="2">
        <v>0</v>
      </c>
      <c r="CY10" s="2">
        <v>0</v>
      </c>
      <c r="CZ10" s="2">
        <v>0</v>
      </c>
      <c r="DA10" s="2">
        <v>0</v>
      </c>
      <c r="DB10" s="2">
        <v>0</v>
      </c>
      <c r="DC10" s="2">
        <v>0</v>
      </c>
      <c r="DD10" s="2">
        <v>0</v>
      </c>
      <c r="DE10" s="2">
        <f t="shared" si="3"/>
        <v>705</v>
      </c>
      <c r="DF10" s="2">
        <v>0</v>
      </c>
    </row>
    <row r="11" spans="1:110" ht="51" x14ac:dyDescent="0.2">
      <c r="A11" s="2" t="s">
        <v>0</v>
      </c>
      <c r="B11" s="2" t="s">
        <v>3</v>
      </c>
      <c r="C11" s="2" t="s">
        <v>236</v>
      </c>
      <c r="D11" s="2" t="s">
        <v>59</v>
      </c>
      <c r="E11" s="2" t="str">
        <f t="shared" si="1"/>
        <v>Schnittholz Balken Laubholz sägerau, kammergetrocknet (u=10%) - RER</v>
      </c>
      <c r="F11" s="2" t="s">
        <v>88</v>
      </c>
      <c r="G11" s="2">
        <f>HLOOKUP($H11,'LCIA Daten manuell'!$A$1:$CU$3,3,FALSE)/1000</f>
        <v>0.67500000000000004</v>
      </c>
      <c r="H11" s="2" t="str">
        <f t="shared" si="0"/>
        <v>sawnwood, beam, hardwood, raw, kiln dried (u=10%), at sawmill - RER</v>
      </c>
      <c r="I11" s="36">
        <f>1.52*J11*K11</f>
        <v>1.6568000000000001</v>
      </c>
      <c r="J11" s="36">
        <f>1.09*K11</f>
        <v>1.0900000000000001</v>
      </c>
      <c r="K11" s="36">
        <v>1</v>
      </c>
      <c r="L11" s="2">
        <v>0</v>
      </c>
      <c r="M11" s="2">
        <f>-HLOOKUP("m3 Rundholz/m3 Produkt",$I$2:$K$103,ROW()-1,FALSE)</f>
        <v>-1.6568000000000001</v>
      </c>
      <c r="N11" s="2">
        <v>0</v>
      </c>
      <c r="O11" s="2">
        <v>0</v>
      </c>
      <c r="P11" s="2">
        <f>-68.19*HLOOKUP("m3 Stufe1/m3 Produkt",$I$2:$K$103,ROW()-1,FALSE)</f>
        <v>-74.327100000000002</v>
      </c>
      <c r="Q11" s="2">
        <v>0</v>
      </c>
      <c r="R11" s="2">
        <v>0</v>
      </c>
      <c r="S11" s="2">
        <v>0</v>
      </c>
      <c r="T11" s="2">
        <v>0</v>
      </c>
      <c r="U11" s="2">
        <v>0</v>
      </c>
      <c r="V11" s="2">
        <v>0</v>
      </c>
      <c r="W11" s="2">
        <v>0</v>
      </c>
      <c r="X11" s="2">
        <v>0</v>
      </c>
      <c r="Y11" s="2">
        <v>0</v>
      </c>
      <c r="Z11" s="2">
        <v>0</v>
      </c>
      <c r="AA11" s="2">
        <v>0</v>
      </c>
      <c r="AB11" s="2">
        <v>0</v>
      </c>
      <c r="AC11" s="2">
        <v>0</v>
      </c>
      <c r="AD11" s="2">
        <v>0</v>
      </c>
      <c r="AE11" s="2">
        <v>0</v>
      </c>
      <c r="AF11" s="2">
        <v>0</v>
      </c>
      <c r="AG11" s="2">
        <v>0</v>
      </c>
      <c r="AH11" s="2">
        <v>0</v>
      </c>
      <c r="AI11" s="2">
        <v>0</v>
      </c>
      <c r="AJ11" s="2">
        <v>1</v>
      </c>
      <c r="AK11" s="2">
        <v>0</v>
      </c>
      <c r="AL11" s="2">
        <v>0</v>
      </c>
      <c r="AM11" s="2">
        <v>0</v>
      </c>
      <c r="AN11" s="37">
        <v>0</v>
      </c>
      <c r="AO11" s="2">
        <v>0</v>
      </c>
      <c r="AP11" s="2">
        <v>0</v>
      </c>
      <c r="AQ11" s="2">
        <v>0</v>
      </c>
      <c r="AR11" s="2">
        <v>0</v>
      </c>
      <c r="AS11" s="2">
        <v>0</v>
      </c>
      <c r="AT11" s="2">
        <v>0</v>
      </c>
      <c r="AU11" s="2">
        <v>0</v>
      </c>
      <c r="AV11" s="2">
        <v>0</v>
      </c>
      <c r="AW11" s="2">
        <v>0</v>
      </c>
      <c r="AX11" s="2">
        <v>0</v>
      </c>
      <c r="AY11" s="2">
        <v>0</v>
      </c>
      <c r="AZ11" s="2">
        <v>0</v>
      </c>
      <c r="BA11" s="2">
        <v>0</v>
      </c>
      <c r="BB11" s="2">
        <v>0</v>
      </c>
      <c r="BC11" s="2">
        <v>0</v>
      </c>
      <c r="BD11" s="2">
        <v>0</v>
      </c>
      <c r="BE11" s="2">
        <v>0</v>
      </c>
      <c r="BF11" s="2">
        <v>0</v>
      </c>
      <c r="BG11" s="2">
        <v>0</v>
      </c>
      <c r="BH11" s="2">
        <v>0</v>
      </c>
      <c r="BI11" s="2">
        <v>0</v>
      </c>
      <c r="BJ11" s="2">
        <v>0</v>
      </c>
      <c r="BK11" s="2">
        <v>0</v>
      </c>
      <c r="BL11" s="2">
        <v>0</v>
      </c>
      <c r="BM11" s="2">
        <v>0</v>
      </c>
      <c r="BN11" s="2">
        <v>0</v>
      </c>
      <c r="BO11" s="2">
        <v>0</v>
      </c>
      <c r="BP11" s="2">
        <v>0</v>
      </c>
      <c r="BQ11" s="2">
        <v>0</v>
      </c>
      <c r="BR11" s="2">
        <v>0</v>
      </c>
      <c r="BS11" s="2">
        <v>0</v>
      </c>
      <c r="BT11" s="2">
        <v>0</v>
      </c>
      <c r="BU11" s="2">
        <v>0</v>
      </c>
      <c r="BV11" s="2">
        <v>0</v>
      </c>
      <c r="BW11" s="2">
        <v>0</v>
      </c>
      <c r="BX11" s="2">
        <v>0</v>
      </c>
      <c r="BY11" s="2">
        <v>0</v>
      </c>
      <c r="BZ11" s="2">
        <v>0</v>
      </c>
      <c r="CA11" s="2">
        <v>0</v>
      </c>
      <c r="CB11" s="2">
        <v>0</v>
      </c>
      <c r="CC11" s="2">
        <v>0</v>
      </c>
      <c r="CD11" s="2">
        <v>0</v>
      </c>
      <c r="CE11" s="2">
        <v>0</v>
      </c>
      <c r="CF11" s="2">
        <v>0</v>
      </c>
      <c r="CG11" s="2">
        <v>0</v>
      </c>
      <c r="CH11" s="2">
        <v>0</v>
      </c>
      <c r="CI11" s="2">
        <v>0</v>
      </c>
      <c r="CJ11" s="2">
        <v>0</v>
      </c>
      <c r="CK11" s="2">
        <v>0</v>
      </c>
      <c r="CL11" s="2">
        <v>0</v>
      </c>
      <c r="CM11" s="2">
        <v>0</v>
      </c>
      <c r="CN11" s="2">
        <v>0</v>
      </c>
      <c r="CO11" s="2">
        <v>0</v>
      </c>
      <c r="CP11" s="2">
        <v>0</v>
      </c>
      <c r="CQ11" s="2">
        <v>0</v>
      </c>
      <c r="CR11" s="2">
        <v>0</v>
      </c>
      <c r="CS11" s="2">
        <v>0</v>
      </c>
      <c r="CT11" s="2">
        <v>0</v>
      </c>
      <c r="CU11" s="2">
        <v>0</v>
      </c>
      <c r="CV11" s="2">
        <v>0</v>
      </c>
      <c r="CW11" s="2">
        <v>0</v>
      </c>
      <c r="CX11" s="2">
        <v>0</v>
      </c>
      <c r="CY11" s="2">
        <v>0</v>
      </c>
      <c r="CZ11" s="2">
        <v>0</v>
      </c>
      <c r="DA11" s="2">
        <v>0</v>
      </c>
      <c r="DB11" s="2">
        <v>0</v>
      </c>
      <c r="DC11" s="2">
        <v>0</v>
      </c>
      <c r="DD11" s="2">
        <v>0</v>
      </c>
      <c r="DE11" s="2">
        <f t="shared" si="3"/>
        <v>675</v>
      </c>
      <c r="DF11" s="2">
        <v>0</v>
      </c>
    </row>
    <row r="12" spans="1:110" ht="51" x14ac:dyDescent="0.2">
      <c r="A12" s="2" t="s">
        <v>0</v>
      </c>
      <c r="B12" s="2" t="s">
        <v>3</v>
      </c>
      <c r="C12" s="2" t="s">
        <v>235</v>
      </c>
      <c r="D12" s="2" t="s">
        <v>59</v>
      </c>
      <c r="E12" s="2" t="str">
        <f t="shared" si="1"/>
        <v>Schnittholz Balken Laubholz sägerau, kammergetrocknet (u=20%) - RER</v>
      </c>
      <c r="F12" s="2" t="s">
        <v>88</v>
      </c>
      <c r="G12" s="2">
        <f>HLOOKUP($H12,'LCIA Daten manuell'!$A$1:$CU$3,3,FALSE)/1000</f>
        <v>0.70499999999999996</v>
      </c>
      <c r="H12" s="2" t="str">
        <f t="shared" si="0"/>
        <v>sawnwood, beam, hardwood, raw, kiln dried (u=20%), at sawmill - RER</v>
      </c>
      <c r="I12" s="36">
        <f>1.52*J12</f>
        <v>1.5808</v>
      </c>
      <c r="J12" s="36">
        <f>1.04*K12</f>
        <v>1.04</v>
      </c>
      <c r="K12" s="36">
        <v>1</v>
      </c>
      <c r="L12" s="2">
        <v>0</v>
      </c>
      <c r="M12" s="2">
        <f>-HLOOKUP("m3 Rundholz/m3 Produkt",$I$2:$K$103,ROW()-1,FALSE)</f>
        <v>-1.5808</v>
      </c>
      <c r="N12" s="2">
        <v>0</v>
      </c>
      <c r="O12" s="2">
        <v>0</v>
      </c>
      <c r="P12" s="2">
        <f>-68.19*HLOOKUP("m3 Stufe1/m3 Produkt",$I$2:$K$103,ROW()-1,FALSE)</f>
        <v>-70.917599999999993</v>
      </c>
      <c r="Q12" s="2">
        <v>0</v>
      </c>
      <c r="R12" s="2">
        <v>0</v>
      </c>
      <c r="S12" s="2">
        <v>0</v>
      </c>
      <c r="T12" s="2">
        <v>0</v>
      </c>
      <c r="U12" s="2">
        <v>0</v>
      </c>
      <c r="V12" s="2">
        <v>0</v>
      </c>
      <c r="W12" s="2">
        <v>0</v>
      </c>
      <c r="X12" s="2">
        <v>0</v>
      </c>
      <c r="Y12" s="2">
        <v>0</v>
      </c>
      <c r="Z12" s="2">
        <v>0</v>
      </c>
      <c r="AA12" s="2">
        <v>0</v>
      </c>
      <c r="AB12" s="2">
        <v>0</v>
      </c>
      <c r="AC12" s="2">
        <v>0</v>
      </c>
      <c r="AD12" s="2">
        <v>0</v>
      </c>
      <c r="AE12" s="2">
        <v>0</v>
      </c>
      <c r="AF12" s="2">
        <v>0</v>
      </c>
      <c r="AG12" s="2">
        <v>0</v>
      </c>
      <c r="AH12" s="2">
        <v>0</v>
      </c>
      <c r="AI12" s="2">
        <v>0</v>
      </c>
      <c r="AJ12" s="2">
        <v>0</v>
      </c>
      <c r="AK12" s="2">
        <v>0</v>
      </c>
      <c r="AL12" s="2">
        <v>1</v>
      </c>
      <c r="AM12" s="2">
        <v>0</v>
      </c>
      <c r="AN12" s="37">
        <v>0</v>
      </c>
      <c r="AO12" s="2">
        <v>0</v>
      </c>
      <c r="AP12" s="2">
        <v>0</v>
      </c>
      <c r="AQ12" s="2">
        <v>0</v>
      </c>
      <c r="AR12" s="2">
        <v>0</v>
      </c>
      <c r="AS12" s="2">
        <v>0</v>
      </c>
      <c r="AT12" s="2">
        <v>0</v>
      </c>
      <c r="AU12" s="2">
        <v>0</v>
      </c>
      <c r="AV12" s="2">
        <v>0</v>
      </c>
      <c r="AW12" s="2">
        <v>0</v>
      </c>
      <c r="AX12" s="2">
        <v>0</v>
      </c>
      <c r="AY12" s="2">
        <v>0</v>
      </c>
      <c r="AZ12" s="2">
        <v>0</v>
      </c>
      <c r="BA12" s="2">
        <v>0</v>
      </c>
      <c r="BB12" s="2">
        <v>0</v>
      </c>
      <c r="BC12" s="2">
        <v>0</v>
      </c>
      <c r="BD12" s="2">
        <v>0</v>
      </c>
      <c r="BE12" s="2">
        <v>0</v>
      </c>
      <c r="BF12" s="2">
        <v>0</v>
      </c>
      <c r="BG12" s="2">
        <v>0</v>
      </c>
      <c r="BH12" s="2">
        <v>0</v>
      </c>
      <c r="BI12" s="2">
        <v>0</v>
      </c>
      <c r="BJ12" s="2">
        <v>0</v>
      </c>
      <c r="BK12" s="2">
        <v>0</v>
      </c>
      <c r="BL12" s="2">
        <v>0</v>
      </c>
      <c r="BM12" s="2">
        <v>0</v>
      </c>
      <c r="BN12" s="2">
        <v>0</v>
      </c>
      <c r="BO12" s="2">
        <v>0</v>
      </c>
      <c r="BP12" s="2">
        <v>0</v>
      </c>
      <c r="BQ12" s="2">
        <v>0</v>
      </c>
      <c r="BR12" s="2">
        <v>0</v>
      </c>
      <c r="BS12" s="2">
        <v>0</v>
      </c>
      <c r="BT12" s="2">
        <v>0</v>
      </c>
      <c r="BU12" s="2">
        <v>0</v>
      </c>
      <c r="BV12" s="2">
        <v>0</v>
      </c>
      <c r="BW12" s="2">
        <v>0</v>
      </c>
      <c r="BX12" s="2">
        <v>0</v>
      </c>
      <c r="BY12" s="2">
        <v>0</v>
      </c>
      <c r="BZ12" s="2">
        <v>0</v>
      </c>
      <c r="CA12" s="2">
        <v>0</v>
      </c>
      <c r="CB12" s="2">
        <v>0</v>
      </c>
      <c r="CC12" s="2">
        <v>0</v>
      </c>
      <c r="CD12" s="2">
        <v>0</v>
      </c>
      <c r="CE12" s="2">
        <v>0</v>
      </c>
      <c r="CF12" s="2">
        <v>0</v>
      </c>
      <c r="CG12" s="2">
        <v>0</v>
      </c>
      <c r="CH12" s="2">
        <v>0</v>
      </c>
      <c r="CI12" s="2">
        <v>0</v>
      </c>
      <c r="CJ12" s="2">
        <v>0</v>
      </c>
      <c r="CK12" s="2">
        <v>0</v>
      </c>
      <c r="CL12" s="2">
        <v>0</v>
      </c>
      <c r="CM12" s="2">
        <v>0</v>
      </c>
      <c r="CN12" s="2">
        <v>0</v>
      </c>
      <c r="CO12" s="2">
        <v>0</v>
      </c>
      <c r="CP12" s="2">
        <v>0</v>
      </c>
      <c r="CQ12" s="2">
        <v>0</v>
      </c>
      <c r="CR12" s="2">
        <v>0</v>
      </c>
      <c r="CS12" s="2">
        <v>0</v>
      </c>
      <c r="CT12" s="2">
        <v>0</v>
      </c>
      <c r="CU12" s="2">
        <v>0</v>
      </c>
      <c r="CV12" s="2">
        <v>0</v>
      </c>
      <c r="CW12" s="2">
        <v>0</v>
      </c>
      <c r="CX12" s="2">
        <v>0</v>
      </c>
      <c r="CY12" s="2">
        <v>0</v>
      </c>
      <c r="CZ12" s="2">
        <v>0</v>
      </c>
      <c r="DA12" s="2">
        <v>0</v>
      </c>
      <c r="DB12" s="2">
        <v>0</v>
      </c>
      <c r="DC12" s="2">
        <v>0</v>
      </c>
      <c r="DD12" s="2">
        <v>0</v>
      </c>
      <c r="DE12" s="2">
        <f t="shared" si="3"/>
        <v>705</v>
      </c>
      <c r="DF12" s="2">
        <v>0</v>
      </c>
    </row>
    <row r="13" spans="1:110" ht="51" x14ac:dyDescent="0.2">
      <c r="A13" s="2" t="s">
        <v>0</v>
      </c>
      <c r="B13" s="2" t="s">
        <v>3</v>
      </c>
      <c r="C13" s="2" t="s">
        <v>234</v>
      </c>
      <c r="D13" s="2" t="s">
        <v>59</v>
      </c>
      <c r="E13" s="2" t="str">
        <f t="shared" si="1"/>
        <v>Schnittholz Balken Laubholz sägerau, luftgetrocknet (u=20%) - RER</v>
      </c>
      <c r="F13" s="2" t="s">
        <v>88</v>
      </c>
      <c r="G13" s="2">
        <f>HLOOKUP($H13,'LCIA Daten manuell'!$A$1:$CU$3,3,FALSE)/1000</f>
        <v>0.70499999999999996</v>
      </c>
      <c r="H13" s="2" t="str">
        <f t="shared" si="0"/>
        <v>sawnwood, beam, hardwood, raw, air dried (u=20%), at sawmill - RER</v>
      </c>
      <c r="I13" s="36">
        <f>1.52*J13</f>
        <v>1.5808</v>
      </c>
      <c r="J13" s="36">
        <f>1.04*K13</f>
        <v>1.04</v>
      </c>
      <c r="K13" s="36">
        <v>1</v>
      </c>
      <c r="L13" s="2">
        <v>0</v>
      </c>
      <c r="M13" s="2">
        <f>-HLOOKUP("m3 Rundholz/m3 Produkt",$I$2:$K$103,ROW()-1,FALSE)</f>
        <v>-1.5808</v>
      </c>
      <c r="N13" s="2">
        <v>0</v>
      </c>
      <c r="O13" s="2">
        <v>0</v>
      </c>
      <c r="P13" s="2">
        <f>-68.19*HLOOKUP("m3 Stufe1/m3 Produkt",$I$2:$K$103,ROW()-1,FALSE)</f>
        <v>-70.917599999999993</v>
      </c>
      <c r="Q13" s="2">
        <v>0</v>
      </c>
      <c r="R13" s="2">
        <v>0</v>
      </c>
      <c r="S13" s="2">
        <v>0</v>
      </c>
      <c r="T13" s="2">
        <v>0</v>
      </c>
      <c r="U13" s="2">
        <v>0</v>
      </c>
      <c r="V13" s="2">
        <v>0</v>
      </c>
      <c r="W13" s="2">
        <v>1</v>
      </c>
      <c r="X13" s="2">
        <v>0</v>
      </c>
      <c r="Y13" s="2">
        <v>0</v>
      </c>
      <c r="Z13" s="2">
        <v>0</v>
      </c>
      <c r="AA13" s="2">
        <v>0</v>
      </c>
      <c r="AB13" s="2">
        <v>0</v>
      </c>
      <c r="AC13" s="2">
        <v>0</v>
      </c>
      <c r="AD13" s="2">
        <v>0</v>
      </c>
      <c r="AE13" s="2">
        <v>0</v>
      </c>
      <c r="AF13" s="2">
        <v>0</v>
      </c>
      <c r="AG13" s="2">
        <v>0</v>
      </c>
      <c r="AH13" s="2">
        <v>0</v>
      </c>
      <c r="AI13" s="2">
        <v>0</v>
      </c>
      <c r="AJ13" s="2">
        <v>0</v>
      </c>
      <c r="AK13" s="2">
        <v>0</v>
      </c>
      <c r="AL13" s="2">
        <v>0</v>
      </c>
      <c r="AM13" s="2">
        <v>0</v>
      </c>
      <c r="AN13" s="37">
        <v>0</v>
      </c>
      <c r="AO13" s="2">
        <v>0</v>
      </c>
      <c r="AP13" s="2">
        <v>0</v>
      </c>
      <c r="AQ13" s="2">
        <v>0</v>
      </c>
      <c r="AR13" s="2">
        <v>0</v>
      </c>
      <c r="AS13" s="2">
        <v>0</v>
      </c>
      <c r="AT13" s="2">
        <v>0</v>
      </c>
      <c r="AU13" s="2">
        <v>0</v>
      </c>
      <c r="AV13" s="2">
        <v>0</v>
      </c>
      <c r="AW13" s="2">
        <v>0</v>
      </c>
      <c r="AX13" s="2">
        <v>0</v>
      </c>
      <c r="AY13" s="2">
        <v>0</v>
      </c>
      <c r="AZ13" s="2">
        <v>0</v>
      </c>
      <c r="BA13" s="2">
        <v>0</v>
      </c>
      <c r="BB13" s="2">
        <v>0</v>
      </c>
      <c r="BC13" s="2">
        <v>0</v>
      </c>
      <c r="BD13" s="2">
        <v>0</v>
      </c>
      <c r="BE13" s="2">
        <v>0</v>
      </c>
      <c r="BF13" s="2">
        <v>0</v>
      </c>
      <c r="BG13" s="2">
        <v>0</v>
      </c>
      <c r="BH13" s="2">
        <v>0</v>
      </c>
      <c r="BI13" s="2">
        <v>0</v>
      </c>
      <c r="BJ13" s="2">
        <v>0</v>
      </c>
      <c r="BK13" s="2">
        <v>0</v>
      </c>
      <c r="BL13" s="2">
        <v>0</v>
      </c>
      <c r="BM13" s="2">
        <v>0</v>
      </c>
      <c r="BN13" s="2">
        <v>0</v>
      </c>
      <c r="BO13" s="2">
        <v>0</v>
      </c>
      <c r="BP13" s="2">
        <v>0</v>
      </c>
      <c r="BQ13" s="2">
        <v>0</v>
      </c>
      <c r="BR13" s="2">
        <v>0</v>
      </c>
      <c r="BS13" s="2">
        <v>0</v>
      </c>
      <c r="BT13" s="2">
        <v>0</v>
      </c>
      <c r="BU13" s="2">
        <v>0</v>
      </c>
      <c r="BV13" s="2">
        <v>0</v>
      </c>
      <c r="BW13" s="2">
        <v>0</v>
      </c>
      <c r="BX13" s="2">
        <v>0</v>
      </c>
      <c r="BY13" s="2">
        <v>0</v>
      </c>
      <c r="BZ13" s="2">
        <v>0</v>
      </c>
      <c r="CA13" s="2">
        <v>0</v>
      </c>
      <c r="CB13" s="2">
        <v>0</v>
      </c>
      <c r="CC13" s="2">
        <v>0</v>
      </c>
      <c r="CD13" s="2">
        <v>0</v>
      </c>
      <c r="CE13" s="2">
        <v>0</v>
      </c>
      <c r="CF13" s="2">
        <v>0</v>
      </c>
      <c r="CG13" s="2">
        <v>0</v>
      </c>
      <c r="CH13" s="2">
        <v>0</v>
      </c>
      <c r="CI13" s="2">
        <v>0</v>
      </c>
      <c r="CJ13" s="2">
        <v>0</v>
      </c>
      <c r="CK13" s="2">
        <v>0</v>
      </c>
      <c r="CL13" s="2">
        <v>0</v>
      </c>
      <c r="CM13" s="2">
        <v>0</v>
      </c>
      <c r="CN13" s="2">
        <v>0</v>
      </c>
      <c r="CO13" s="2">
        <v>0</v>
      </c>
      <c r="CP13" s="2">
        <v>0</v>
      </c>
      <c r="CQ13" s="2">
        <v>0</v>
      </c>
      <c r="CR13" s="2">
        <v>0</v>
      </c>
      <c r="CS13" s="2">
        <v>0</v>
      </c>
      <c r="CT13" s="2">
        <v>0</v>
      </c>
      <c r="CU13" s="2">
        <v>0</v>
      </c>
      <c r="CV13" s="2">
        <v>0</v>
      </c>
      <c r="CW13" s="2">
        <v>0</v>
      </c>
      <c r="CX13" s="2">
        <v>0</v>
      </c>
      <c r="CY13" s="2">
        <v>0</v>
      </c>
      <c r="CZ13" s="2">
        <v>0</v>
      </c>
      <c r="DA13" s="2">
        <v>0</v>
      </c>
      <c r="DB13" s="2">
        <v>0</v>
      </c>
      <c r="DC13" s="2">
        <v>0</v>
      </c>
      <c r="DD13" s="2">
        <v>0</v>
      </c>
      <c r="DE13" s="2">
        <f t="shared" si="3"/>
        <v>705</v>
      </c>
      <c r="DF13" s="2">
        <v>0</v>
      </c>
    </row>
    <row r="14" spans="1:110" ht="51" x14ac:dyDescent="0.2">
      <c r="A14" s="2" t="s">
        <v>0</v>
      </c>
      <c r="B14" s="2" t="s">
        <v>4</v>
      </c>
      <c r="C14" s="2" t="s">
        <v>234</v>
      </c>
      <c r="D14" s="2" t="s">
        <v>58</v>
      </c>
      <c r="E14" s="2" t="str">
        <f t="shared" si="1"/>
        <v>Schnittholz Balken Nadelholz sägerau, luftgetrocknet (u=20%) - CH</v>
      </c>
      <c r="F14" s="2" t="s">
        <v>89</v>
      </c>
      <c r="G14" s="2">
        <f>HLOOKUP($H14,'LCIA Daten manuell'!$A$1:$CU$3,3,FALSE)/1000</f>
        <v>0.48499999999999999</v>
      </c>
      <c r="H14" s="2" t="str">
        <f t="shared" si="0"/>
        <v>sawnwood, beam, softwood, raw, air dried (u=20%), at sawmill - CH</v>
      </c>
      <c r="I14" s="36">
        <f>1.5*J14</f>
        <v>1.56</v>
      </c>
      <c r="J14" s="36">
        <f>1.04*K14</f>
        <v>1.04</v>
      </c>
      <c r="K14" s="36">
        <v>1</v>
      </c>
      <c r="L14" s="2">
        <v>0</v>
      </c>
      <c r="M14" s="2">
        <v>0</v>
      </c>
      <c r="N14" s="2">
        <f>-HLOOKUP("m3 Rundholz/m3 Produkt",$I$2:$K$103,ROW()-1,FALSE)</f>
        <v>-1.56</v>
      </c>
      <c r="O14" s="2">
        <v>0</v>
      </c>
      <c r="P14" s="2">
        <v>0</v>
      </c>
      <c r="Q14" s="2">
        <f>-57.312*HLOOKUP("m3 Stufe1/m3 Produkt",$I$2:$K$103,ROW()-1,FALSE)</f>
        <v>-59.604480000000002</v>
      </c>
      <c r="R14" s="2">
        <v>0</v>
      </c>
      <c r="S14" s="2">
        <v>0</v>
      </c>
      <c r="T14" s="2">
        <v>0</v>
      </c>
      <c r="U14" s="2">
        <v>0</v>
      </c>
      <c r="V14" s="2">
        <v>0</v>
      </c>
      <c r="W14" s="2">
        <v>0</v>
      </c>
      <c r="X14" s="2">
        <v>0</v>
      </c>
      <c r="Y14" s="2">
        <v>0</v>
      </c>
      <c r="Z14" s="2">
        <v>0</v>
      </c>
      <c r="AA14" s="2">
        <v>0</v>
      </c>
      <c r="AB14" s="2">
        <v>0</v>
      </c>
      <c r="AC14" s="2">
        <v>0</v>
      </c>
      <c r="AD14" s="2">
        <v>0</v>
      </c>
      <c r="AE14" s="2">
        <v>0</v>
      </c>
      <c r="AF14" s="2">
        <v>1</v>
      </c>
      <c r="AG14" s="2">
        <v>0</v>
      </c>
      <c r="AH14" s="2">
        <v>0</v>
      </c>
      <c r="AI14" s="2">
        <v>0</v>
      </c>
      <c r="AJ14" s="2">
        <v>0</v>
      </c>
      <c r="AK14" s="2">
        <v>0</v>
      </c>
      <c r="AL14" s="2">
        <v>0</v>
      </c>
      <c r="AM14" s="2">
        <v>0</v>
      </c>
      <c r="AN14" s="37">
        <v>0</v>
      </c>
      <c r="AO14" s="2">
        <v>0</v>
      </c>
      <c r="AP14" s="2">
        <v>0</v>
      </c>
      <c r="AQ14" s="2">
        <v>0</v>
      </c>
      <c r="AR14" s="2">
        <v>0</v>
      </c>
      <c r="AS14" s="2">
        <v>0</v>
      </c>
      <c r="AT14" s="2">
        <v>0</v>
      </c>
      <c r="AU14" s="2">
        <v>0</v>
      </c>
      <c r="AV14" s="2">
        <v>0</v>
      </c>
      <c r="AW14" s="2">
        <v>0</v>
      </c>
      <c r="AX14" s="2">
        <v>0</v>
      </c>
      <c r="AY14" s="2">
        <v>0</v>
      </c>
      <c r="AZ14" s="2">
        <v>0</v>
      </c>
      <c r="BA14" s="2">
        <v>0</v>
      </c>
      <c r="BB14" s="2">
        <v>0</v>
      </c>
      <c r="BC14" s="2">
        <v>0</v>
      </c>
      <c r="BD14" s="2">
        <v>0</v>
      </c>
      <c r="BE14" s="2">
        <v>0</v>
      </c>
      <c r="BF14" s="2">
        <v>0</v>
      </c>
      <c r="BG14" s="2">
        <v>0</v>
      </c>
      <c r="BH14" s="2">
        <v>0</v>
      </c>
      <c r="BI14" s="2">
        <v>0</v>
      </c>
      <c r="BJ14" s="2">
        <v>0</v>
      </c>
      <c r="BK14" s="2">
        <v>0</v>
      </c>
      <c r="BL14" s="2">
        <v>0</v>
      </c>
      <c r="BM14" s="2">
        <v>0</v>
      </c>
      <c r="BN14" s="2">
        <v>0</v>
      </c>
      <c r="BO14" s="2">
        <v>0</v>
      </c>
      <c r="BP14" s="2">
        <v>0</v>
      </c>
      <c r="BQ14" s="2">
        <v>0</v>
      </c>
      <c r="BR14" s="2">
        <v>0</v>
      </c>
      <c r="BS14" s="2">
        <v>0</v>
      </c>
      <c r="BT14" s="2">
        <v>0</v>
      </c>
      <c r="BU14" s="2">
        <v>0</v>
      </c>
      <c r="BV14" s="2">
        <v>0</v>
      </c>
      <c r="BW14" s="2">
        <v>0</v>
      </c>
      <c r="BX14" s="2">
        <v>0</v>
      </c>
      <c r="BY14" s="2">
        <v>0</v>
      </c>
      <c r="BZ14" s="2">
        <v>0</v>
      </c>
      <c r="CA14" s="2">
        <v>0</v>
      </c>
      <c r="CB14" s="2">
        <v>0</v>
      </c>
      <c r="CC14" s="2">
        <v>0</v>
      </c>
      <c r="CD14" s="2">
        <v>0</v>
      </c>
      <c r="CE14" s="2">
        <v>0</v>
      </c>
      <c r="CF14" s="2">
        <v>0</v>
      </c>
      <c r="CG14" s="2">
        <v>0</v>
      </c>
      <c r="CH14" s="2">
        <v>0</v>
      </c>
      <c r="CI14" s="2">
        <v>0</v>
      </c>
      <c r="CJ14" s="2">
        <v>0</v>
      </c>
      <c r="CK14" s="2">
        <v>0</v>
      </c>
      <c r="CL14" s="2">
        <v>0</v>
      </c>
      <c r="CM14" s="2">
        <v>0</v>
      </c>
      <c r="CN14" s="2">
        <v>0</v>
      </c>
      <c r="CO14" s="2">
        <v>0</v>
      </c>
      <c r="CP14" s="2">
        <v>0</v>
      </c>
      <c r="CQ14" s="2">
        <v>0</v>
      </c>
      <c r="CR14" s="2">
        <v>0</v>
      </c>
      <c r="CS14" s="2">
        <v>0</v>
      </c>
      <c r="CT14" s="2">
        <v>0</v>
      </c>
      <c r="CU14" s="2">
        <v>0</v>
      </c>
      <c r="CV14" s="2">
        <v>0</v>
      </c>
      <c r="CW14" s="2">
        <v>0</v>
      </c>
      <c r="CX14" s="2">
        <v>0</v>
      </c>
      <c r="CY14" s="2">
        <v>0</v>
      </c>
      <c r="CZ14" s="2">
        <v>0</v>
      </c>
      <c r="DA14" s="2">
        <v>0</v>
      </c>
      <c r="DB14" s="2">
        <v>0</v>
      </c>
      <c r="DC14" s="2">
        <v>0</v>
      </c>
      <c r="DD14" s="2">
        <v>0</v>
      </c>
      <c r="DE14" s="2">
        <f t="shared" si="3"/>
        <v>485</v>
      </c>
      <c r="DF14" s="2">
        <v>0</v>
      </c>
    </row>
    <row r="15" spans="1:110" ht="51" x14ac:dyDescent="0.2">
      <c r="A15" s="2" t="s">
        <v>0</v>
      </c>
      <c r="B15" s="2" t="s">
        <v>4</v>
      </c>
      <c r="C15" s="2" t="s">
        <v>235</v>
      </c>
      <c r="D15" s="2" t="s">
        <v>58</v>
      </c>
      <c r="E15" s="2" t="str">
        <f t="shared" si="1"/>
        <v>Schnittholz Balken Nadelholz sägerau, kammergetrocknet (u=20%) - CH</v>
      </c>
      <c r="F15" s="2" t="s">
        <v>89</v>
      </c>
      <c r="G15" s="2">
        <f>HLOOKUP($H15,'LCIA Daten manuell'!$A$1:$CU$3,3,FALSE)/1000</f>
        <v>0.48499999999999999</v>
      </c>
      <c r="H15" s="2" t="str">
        <f t="shared" si="0"/>
        <v>sawnwood, beam, softwood, raw, kiln dried (u=20%), at sawmill - CH</v>
      </c>
      <c r="I15" s="36">
        <f>1.5*J15</f>
        <v>1.56</v>
      </c>
      <c r="J15" s="36">
        <v>1.04</v>
      </c>
      <c r="K15" s="36">
        <v>1</v>
      </c>
      <c r="L15" s="2">
        <v>0</v>
      </c>
      <c r="M15" s="2">
        <v>0</v>
      </c>
      <c r="N15" s="2">
        <f>-HLOOKUP("m3 Rundholz/m3 Produkt",$I$2:$K$103,ROW()-1,FALSE)</f>
        <v>-1.56</v>
      </c>
      <c r="O15" s="2">
        <v>0</v>
      </c>
      <c r="P15" s="2">
        <v>0</v>
      </c>
      <c r="Q15" s="2">
        <f>-57.312*HLOOKUP("m3 Stufe1/m3 Produkt",$I$2:$K$103,ROW()-1,FALSE)</f>
        <v>-59.604480000000002</v>
      </c>
      <c r="R15" s="2">
        <v>0</v>
      </c>
      <c r="S15" s="2">
        <v>0</v>
      </c>
      <c r="T15" s="2">
        <v>0</v>
      </c>
      <c r="U15" s="2">
        <v>0</v>
      </c>
      <c r="V15" s="2">
        <v>0</v>
      </c>
      <c r="W15" s="2">
        <v>0</v>
      </c>
      <c r="X15" s="2">
        <v>0</v>
      </c>
      <c r="Y15" s="2">
        <v>0</v>
      </c>
      <c r="Z15" s="2">
        <v>0</v>
      </c>
      <c r="AA15" s="2">
        <v>0</v>
      </c>
      <c r="AB15" s="2">
        <v>0</v>
      </c>
      <c r="AC15" s="2">
        <v>0</v>
      </c>
      <c r="AD15" s="2">
        <v>0</v>
      </c>
      <c r="AE15" s="2">
        <v>0</v>
      </c>
      <c r="AF15" s="2">
        <v>0</v>
      </c>
      <c r="AG15" s="2">
        <v>0</v>
      </c>
      <c r="AH15" s="2">
        <v>1</v>
      </c>
      <c r="AI15" s="2">
        <v>0</v>
      </c>
      <c r="AJ15" s="2">
        <v>0</v>
      </c>
      <c r="AK15" s="2">
        <v>0</v>
      </c>
      <c r="AL15" s="2">
        <v>0</v>
      </c>
      <c r="AM15" s="2">
        <v>0</v>
      </c>
      <c r="AN15" s="37">
        <v>0</v>
      </c>
      <c r="AO15" s="2">
        <v>0</v>
      </c>
      <c r="AP15" s="2">
        <v>0</v>
      </c>
      <c r="AQ15" s="2">
        <v>0</v>
      </c>
      <c r="AR15" s="2">
        <v>0</v>
      </c>
      <c r="AS15" s="2">
        <v>0</v>
      </c>
      <c r="AT15" s="2">
        <v>0</v>
      </c>
      <c r="AU15" s="2">
        <v>0</v>
      </c>
      <c r="AV15" s="2">
        <v>0</v>
      </c>
      <c r="AW15" s="2">
        <v>0</v>
      </c>
      <c r="AX15" s="2">
        <v>0</v>
      </c>
      <c r="AY15" s="2">
        <v>0</v>
      </c>
      <c r="AZ15" s="2">
        <v>0</v>
      </c>
      <c r="BA15" s="2">
        <v>0</v>
      </c>
      <c r="BB15" s="2">
        <v>0</v>
      </c>
      <c r="BC15" s="2">
        <v>0</v>
      </c>
      <c r="BD15" s="2">
        <v>0</v>
      </c>
      <c r="BE15" s="2">
        <v>0</v>
      </c>
      <c r="BF15" s="2">
        <v>0</v>
      </c>
      <c r="BG15" s="2">
        <v>0</v>
      </c>
      <c r="BH15" s="2">
        <v>0</v>
      </c>
      <c r="BI15" s="2">
        <v>0</v>
      </c>
      <c r="BJ15" s="2">
        <v>0</v>
      </c>
      <c r="BK15" s="2">
        <v>0</v>
      </c>
      <c r="BL15" s="2">
        <v>0</v>
      </c>
      <c r="BM15" s="2">
        <v>0</v>
      </c>
      <c r="BN15" s="2">
        <v>0</v>
      </c>
      <c r="BO15" s="2">
        <v>0</v>
      </c>
      <c r="BP15" s="2">
        <v>0</v>
      </c>
      <c r="BQ15" s="2">
        <v>0</v>
      </c>
      <c r="BR15" s="2">
        <v>0</v>
      </c>
      <c r="BS15" s="2">
        <v>0</v>
      </c>
      <c r="BT15" s="2">
        <v>0</v>
      </c>
      <c r="BU15" s="2">
        <v>0</v>
      </c>
      <c r="BV15" s="2">
        <v>0</v>
      </c>
      <c r="BW15" s="2">
        <v>0</v>
      </c>
      <c r="BX15" s="2">
        <v>0</v>
      </c>
      <c r="BY15" s="2">
        <v>0</v>
      </c>
      <c r="BZ15" s="2">
        <v>0</v>
      </c>
      <c r="CA15" s="2">
        <v>0</v>
      </c>
      <c r="CB15" s="2">
        <v>0</v>
      </c>
      <c r="CC15" s="2">
        <v>0</v>
      </c>
      <c r="CD15" s="2">
        <v>0</v>
      </c>
      <c r="CE15" s="2">
        <v>0</v>
      </c>
      <c r="CF15" s="2">
        <v>0</v>
      </c>
      <c r="CG15" s="2">
        <v>0</v>
      </c>
      <c r="CH15" s="2">
        <v>0</v>
      </c>
      <c r="CI15" s="2">
        <v>0</v>
      </c>
      <c r="CJ15" s="2">
        <v>0</v>
      </c>
      <c r="CK15" s="2">
        <v>0</v>
      </c>
      <c r="CL15" s="2">
        <v>0</v>
      </c>
      <c r="CM15" s="2">
        <v>0</v>
      </c>
      <c r="CN15" s="2">
        <v>0</v>
      </c>
      <c r="CO15" s="2">
        <v>0</v>
      </c>
      <c r="CP15" s="2">
        <v>0</v>
      </c>
      <c r="CQ15" s="2">
        <v>0</v>
      </c>
      <c r="CR15" s="2">
        <v>0</v>
      </c>
      <c r="CS15" s="2">
        <v>0</v>
      </c>
      <c r="CT15" s="2">
        <v>0</v>
      </c>
      <c r="CU15" s="2">
        <v>0</v>
      </c>
      <c r="CV15" s="2">
        <v>0</v>
      </c>
      <c r="CW15" s="2">
        <v>0</v>
      </c>
      <c r="CX15" s="2">
        <v>0</v>
      </c>
      <c r="CY15" s="2">
        <v>0</v>
      </c>
      <c r="CZ15" s="2">
        <v>0</v>
      </c>
      <c r="DA15" s="2">
        <v>0</v>
      </c>
      <c r="DB15" s="2">
        <v>0</v>
      </c>
      <c r="DC15" s="2">
        <v>0</v>
      </c>
      <c r="DD15" s="2">
        <v>0</v>
      </c>
      <c r="DE15" s="2">
        <f t="shared" si="3"/>
        <v>485</v>
      </c>
      <c r="DF15" s="2">
        <v>0</v>
      </c>
    </row>
    <row r="16" spans="1:110" ht="51" x14ac:dyDescent="0.2">
      <c r="A16" s="2" t="s">
        <v>0</v>
      </c>
      <c r="B16" s="2" t="s">
        <v>4</v>
      </c>
      <c r="C16" s="2" t="s">
        <v>236</v>
      </c>
      <c r="D16" s="2" t="s">
        <v>58</v>
      </c>
      <c r="E16" s="2" t="str">
        <f t="shared" si="1"/>
        <v>Schnittholz Balken Nadelholz sägerau, kammergetrocknet (u=10%) - CH</v>
      </c>
      <c r="F16" s="2" t="s">
        <v>89</v>
      </c>
      <c r="G16" s="2">
        <f>HLOOKUP($H16,'LCIA Daten manuell'!$A$1:$CU$3,3,FALSE)/1000</f>
        <v>0.46500000000000002</v>
      </c>
      <c r="H16" s="2" t="str">
        <f t="shared" si="0"/>
        <v>sawnwood, beam, softwood, raw, kiln dried (u=10%), at sawmill - CH</v>
      </c>
      <c r="I16" s="36">
        <f>1.5*J16</f>
        <v>1.6350000000000002</v>
      </c>
      <c r="J16" s="36">
        <f>1.09*K16</f>
        <v>1.0900000000000001</v>
      </c>
      <c r="K16" s="36">
        <v>1</v>
      </c>
      <c r="L16" s="2">
        <v>0</v>
      </c>
      <c r="M16" s="2">
        <v>0</v>
      </c>
      <c r="N16" s="2">
        <f>-HLOOKUP("m3 Rundholz/m3 Produkt",$I$2:$K$103,ROW()-1,FALSE)</f>
        <v>-1.6350000000000002</v>
      </c>
      <c r="O16" s="2">
        <v>0</v>
      </c>
      <c r="P16" s="2">
        <v>0</v>
      </c>
      <c r="Q16" s="2">
        <f>-57.312*HLOOKUP("m3 Stufe1/m3 Produkt",$I$2:$K$103,ROW()-1,FALSE)</f>
        <v>-62.470080000000003</v>
      </c>
      <c r="R16" s="2">
        <v>0</v>
      </c>
      <c r="S16" s="2">
        <v>0</v>
      </c>
      <c r="T16" s="2">
        <v>0</v>
      </c>
      <c r="U16" s="2">
        <v>0</v>
      </c>
      <c r="V16" s="2">
        <v>0</v>
      </c>
      <c r="W16" s="2">
        <v>0</v>
      </c>
      <c r="X16" s="2">
        <v>0</v>
      </c>
      <c r="Y16" s="2">
        <v>0</v>
      </c>
      <c r="Z16" s="2">
        <v>0</v>
      </c>
      <c r="AA16" s="2">
        <v>0</v>
      </c>
      <c r="AB16" s="2">
        <v>0</v>
      </c>
      <c r="AC16" s="2">
        <v>0</v>
      </c>
      <c r="AD16" s="2">
        <v>0</v>
      </c>
      <c r="AE16" s="2">
        <v>0</v>
      </c>
      <c r="AF16" s="2">
        <v>0</v>
      </c>
      <c r="AG16" s="2">
        <v>0</v>
      </c>
      <c r="AH16" s="2">
        <v>0</v>
      </c>
      <c r="AI16" s="2">
        <v>1</v>
      </c>
      <c r="AJ16" s="2">
        <v>0</v>
      </c>
      <c r="AK16" s="2">
        <v>0</v>
      </c>
      <c r="AL16" s="2">
        <v>0</v>
      </c>
      <c r="AM16" s="2">
        <v>0</v>
      </c>
      <c r="AN16" s="37">
        <v>0</v>
      </c>
      <c r="AO16" s="2">
        <v>0</v>
      </c>
      <c r="AP16" s="2">
        <v>0</v>
      </c>
      <c r="AQ16" s="2">
        <v>0</v>
      </c>
      <c r="AR16" s="2">
        <v>0</v>
      </c>
      <c r="AS16" s="2">
        <v>0</v>
      </c>
      <c r="AT16" s="2">
        <v>0</v>
      </c>
      <c r="AU16" s="2">
        <v>0</v>
      </c>
      <c r="AV16" s="2">
        <v>0</v>
      </c>
      <c r="AW16" s="2">
        <v>0</v>
      </c>
      <c r="AX16" s="2">
        <v>0</v>
      </c>
      <c r="AY16" s="2">
        <v>0</v>
      </c>
      <c r="AZ16" s="2">
        <v>0</v>
      </c>
      <c r="BA16" s="2">
        <v>0</v>
      </c>
      <c r="BB16" s="2">
        <v>0</v>
      </c>
      <c r="BC16" s="2">
        <v>0</v>
      </c>
      <c r="BD16" s="2">
        <v>0</v>
      </c>
      <c r="BE16" s="2">
        <v>0</v>
      </c>
      <c r="BF16" s="2">
        <v>0</v>
      </c>
      <c r="BG16" s="2">
        <v>0</v>
      </c>
      <c r="BH16" s="2">
        <v>0</v>
      </c>
      <c r="BI16" s="2">
        <v>0</v>
      </c>
      <c r="BJ16" s="2">
        <v>0</v>
      </c>
      <c r="BK16" s="2">
        <v>0</v>
      </c>
      <c r="BL16" s="2">
        <v>0</v>
      </c>
      <c r="BM16" s="2">
        <v>0</v>
      </c>
      <c r="BN16" s="2">
        <v>0</v>
      </c>
      <c r="BO16" s="2">
        <v>0</v>
      </c>
      <c r="BP16" s="2">
        <v>0</v>
      </c>
      <c r="BQ16" s="2">
        <v>0</v>
      </c>
      <c r="BR16" s="2">
        <v>0</v>
      </c>
      <c r="BS16" s="2">
        <v>0</v>
      </c>
      <c r="BT16" s="2">
        <v>0</v>
      </c>
      <c r="BU16" s="2">
        <v>0</v>
      </c>
      <c r="BV16" s="2">
        <v>0</v>
      </c>
      <c r="BW16" s="2">
        <v>0</v>
      </c>
      <c r="BX16" s="2">
        <v>0</v>
      </c>
      <c r="BY16" s="2">
        <v>0</v>
      </c>
      <c r="BZ16" s="2">
        <v>0</v>
      </c>
      <c r="CA16" s="2">
        <v>0</v>
      </c>
      <c r="CB16" s="2">
        <v>0</v>
      </c>
      <c r="CC16" s="2">
        <v>0</v>
      </c>
      <c r="CD16" s="2">
        <v>0</v>
      </c>
      <c r="CE16" s="2">
        <v>0</v>
      </c>
      <c r="CF16" s="2">
        <v>0</v>
      </c>
      <c r="CG16" s="2">
        <v>0</v>
      </c>
      <c r="CH16" s="2">
        <v>0</v>
      </c>
      <c r="CI16" s="2">
        <v>0</v>
      </c>
      <c r="CJ16" s="2">
        <v>0</v>
      </c>
      <c r="CK16" s="2">
        <v>0</v>
      </c>
      <c r="CL16" s="2">
        <v>0</v>
      </c>
      <c r="CM16" s="2">
        <v>0</v>
      </c>
      <c r="CN16" s="2">
        <v>0</v>
      </c>
      <c r="CO16" s="2">
        <v>0</v>
      </c>
      <c r="CP16" s="2">
        <v>0</v>
      </c>
      <c r="CQ16" s="2">
        <v>0</v>
      </c>
      <c r="CR16" s="2">
        <v>0</v>
      </c>
      <c r="CS16" s="2">
        <v>0</v>
      </c>
      <c r="CT16" s="2">
        <v>0</v>
      </c>
      <c r="CU16" s="2">
        <v>0</v>
      </c>
      <c r="CV16" s="2">
        <v>0</v>
      </c>
      <c r="CW16" s="2">
        <v>0</v>
      </c>
      <c r="CX16" s="2">
        <v>0</v>
      </c>
      <c r="CY16" s="2">
        <v>0</v>
      </c>
      <c r="CZ16" s="2">
        <v>0</v>
      </c>
      <c r="DA16" s="2">
        <v>0</v>
      </c>
      <c r="DB16" s="2">
        <v>0</v>
      </c>
      <c r="DC16" s="2">
        <v>0</v>
      </c>
      <c r="DD16" s="2">
        <v>0</v>
      </c>
      <c r="DE16" s="2">
        <f t="shared" si="3"/>
        <v>465</v>
      </c>
      <c r="DF16" s="2">
        <v>0</v>
      </c>
    </row>
    <row r="17" spans="1:110" ht="51" x14ac:dyDescent="0.2">
      <c r="A17" s="2" t="s">
        <v>0</v>
      </c>
      <c r="B17" s="2" t="s">
        <v>4</v>
      </c>
      <c r="C17" s="2" t="s">
        <v>237</v>
      </c>
      <c r="D17" s="2" t="s">
        <v>58</v>
      </c>
      <c r="E17" s="2" t="str">
        <f t="shared" si="1"/>
        <v>Schnittholz Balken Nadelholz gehobelt, kammergetrocknet, (u=10%) - CH</v>
      </c>
      <c r="F17" s="2" t="s">
        <v>89</v>
      </c>
      <c r="G17" s="2">
        <f>HLOOKUP($H17,'LCIA Daten manuell'!$A$1:$CU$3,3,FALSE)/1000</f>
        <v>0.46500000000000002</v>
      </c>
      <c r="H17" s="2" t="str">
        <f t="shared" si="0"/>
        <v>sawnwood, beam, softwood, dried (u=10%), planed, at sawmill - CH</v>
      </c>
      <c r="I17" s="36">
        <f>1.5*J17</f>
        <v>1.7004000000000001</v>
      </c>
      <c r="J17" s="36">
        <f>1.09*K17</f>
        <v>1.1336000000000002</v>
      </c>
      <c r="K17" s="36">
        <f>1.04</f>
        <v>1.04</v>
      </c>
      <c r="L17" s="2">
        <v>0</v>
      </c>
      <c r="M17" s="2">
        <v>0</v>
      </c>
      <c r="N17" s="2">
        <f>-HLOOKUP("m3 Rundholz/m3 Produkt",$I$2:$K$103,ROW()-1,FALSE)</f>
        <v>-1.7004000000000001</v>
      </c>
      <c r="O17" s="2">
        <v>0</v>
      </c>
      <c r="P17" s="2">
        <v>0</v>
      </c>
      <c r="Q17" s="2">
        <f>-57.312*HLOOKUP("m3 Stufe1/m3 Produkt",$I$2:$K$103,ROW()-1,FALSE)</f>
        <v>-64.968883200000008</v>
      </c>
      <c r="R17" s="2">
        <v>0</v>
      </c>
      <c r="S17" s="2">
        <v>0</v>
      </c>
      <c r="T17" s="2">
        <v>1</v>
      </c>
      <c r="U17" s="2">
        <v>0</v>
      </c>
      <c r="V17" s="2">
        <v>0</v>
      </c>
      <c r="W17" s="2">
        <v>0</v>
      </c>
      <c r="X17" s="2">
        <v>0</v>
      </c>
      <c r="Y17" s="2">
        <v>0</v>
      </c>
      <c r="Z17" s="2">
        <v>0</v>
      </c>
      <c r="AA17" s="2">
        <v>0</v>
      </c>
      <c r="AB17" s="2">
        <v>0</v>
      </c>
      <c r="AC17" s="2">
        <v>0</v>
      </c>
      <c r="AD17" s="2">
        <v>0</v>
      </c>
      <c r="AE17" s="2">
        <v>0</v>
      </c>
      <c r="AF17" s="2">
        <v>0</v>
      </c>
      <c r="AG17" s="2">
        <v>0</v>
      </c>
      <c r="AH17" s="2">
        <v>0</v>
      </c>
      <c r="AI17" s="2">
        <v>0</v>
      </c>
      <c r="AJ17" s="2">
        <v>0</v>
      </c>
      <c r="AK17" s="2">
        <v>0</v>
      </c>
      <c r="AL17" s="2">
        <v>0</v>
      </c>
      <c r="AM17" s="2">
        <v>0</v>
      </c>
      <c r="AN17" s="37">
        <v>0</v>
      </c>
      <c r="AO17" s="2">
        <v>0</v>
      </c>
      <c r="AP17" s="2">
        <v>0</v>
      </c>
      <c r="AQ17" s="2">
        <v>0</v>
      </c>
      <c r="AR17" s="2">
        <v>0</v>
      </c>
      <c r="AS17" s="2">
        <v>0</v>
      </c>
      <c r="AT17" s="2">
        <v>0</v>
      </c>
      <c r="AU17" s="2">
        <v>0</v>
      </c>
      <c r="AV17" s="2">
        <v>0</v>
      </c>
      <c r="AW17" s="2">
        <v>0</v>
      </c>
      <c r="AX17" s="2">
        <v>0</v>
      </c>
      <c r="AY17" s="2">
        <v>0</v>
      </c>
      <c r="AZ17" s="2">
        <v>0</v>
      </c>
      <c r="BA17" s="2">
        <v>0</v>
      </c>
      <c r="BB17" s="2">
        <v>0</v>
      </c>
      <c r="BC17" s="2">
        <v>0</v>
      </c>
      <c r="BD17" s="2">
        <v>0</v>
      </c>
      <c r="BE17" s="2">
        <v>0</v>
      </c>
      <c r="BF17" s="2">
        <v>0</v>
      </c>
      <c r="BG17" s="2">
        <v>0</v>
      </c>
      <c r="BH17" s="2">
        <v>0</v>
      </c>
      <c r="BI17" s="2">
        <v>0</v>
      </c>
      <c r="BJ17" s="2">
        <v>0</v>
      </c>
      <c r="BK17" s="2">
        <v>0</v>
      </c>
      <c r="BL17" s="2">
        <v>0</v>
      </c>
      <c r="BM17" s="2">
        <v>0</v>
      </c>
      <c r="BN17" s="2">
        <v>0</v>
      </c>
      <c r="BO17" s="2">
        <v>0</v>
      </c>
      <c r="BP17" s="2">
        <v>0</v>
      </c>
      <c r="BQ17" s="2">
        <v>0</v>
      </c>
      <c r="BR17" s="2">
        <v>0</v>
      </c>
      <c r="BS17" s="2">
        <v>0</v>
      </c>
      <c r="BT17" s="2">
        <v>0</v>
      </c>
      <c r="BU17" s="2">
        <v>0</v>
      </c>
      <c r="BV17" s="2">
        <v>0</v>
      </c>
      <c r="BW17" s="2">
        <v>0</v>
      </c>
      <c r="BX17" s="2">
        <v>0</v>
      </c>
      <c r="BY17" s="2">
        <v>0</v>
      </c>
      <c r="BZ17" s="2">
        <v>0</v>
      </c>
      <c r="CA17" s="2">
        <v>0</v>
      </c>
      <c r="CB17" s="2">
        <v>0</v>
      </c>
      <c r="CC17" s="2">
        <v>0</v>
      </c>
      <c r="CD17" s="2">
        <v>0</v>
      </c>
      <c r="CE17" s="2">
        <v>0</v>
      </c>
      <c r="CF17" s="2">
        <v>0</v>
      </c>
      <c r="CG17" s="2">
        <v>0</v>
      </c>
      <c r="CH17" s="2">
        <v>0</v>
      </c>
      <c r="CI17" s="2">
        <v>0</v>
      </c>
      <c r="CJ17" s="2">
        <v>0</v>
      </c>
      <c r="CK17" s="2">
        <v>0</v>
      </c>
      <c r="CL17" s="2">
        <v>0</v>
      </c>
      <c r="CM17" s="2">
        <v>0</v>
      </c>
      <c r="CN17" s="2">
        <v>0</v>
      </c>
      <c r="CO17" s="2">
        <v>0</v>
      </c>
      <c r="CP17" s="2">
        <v>0</v>
      </c>
      <c r="CQ17" s="2">
        <v>0</v>
      </c>
      <c r="CR17" s="2">
        <v>0</v>
      </c>
      <c r="CS17" s="2">
        <v>0</v>
      </c>
      <c r="CT17" s="2">
        <v>0</v>
      </c>
      <c r="CU17" s="2">
        <v>0</v>
      </c>
      <c r="CV17" s="2">
        <v>0</v>
      </c>
      <c r="CW17" s="2">
        <v>0</v>
      </c>
      <c r="CX17" s="2">
        <v>0</v>
      </c>
      <c r="CY17" s="2">
        <v>0</v>
      </c>
      <c r="CZ17" s="2">
        <v>0</v>
      </c>
      <c r="DA17" s="2">
        <v>0</v>
      </c>
      <c r="DB17" s="2">
        <v>0</v>
      </c>
      <c r="DC17" s="2">
        <v>0</v>
      </c>
      <c r="DD17" s="2">
        <v>0</v>
      </c>
      <c r="DE17" s="2">
        <f t="shared" si="3"/>
        <v>465</v>
      </c>
      <c r="DF17" s="2">
        <v>0</v>
      </c>
    </row>
    <row r="18" spans="1:110" ht="34" x14ac:dyDescent="0.2">
      <c r="A18" s="2" t="s">
        <v>0</v>
      </c>
      <c r="B18" s="2" t="s">
        <v>4</v>
      </c>
      <c r="C18" s="2" t="s">
        <v>238</v>
      </c>
      <c r="D18" s="2" t="s">
        <v>58</v>
      </c>
      <c r="E18" s="2" t="str">
        <f t="shared" si="1"/>
        <v>Schnittholz Balken Nadelholz gehobelt, getrocknet, (u=20%) - CH</v>
      </c>
      <c r="F18" s="2" t="s">
        <v>89</v>
      </c>
      <c r="G18" s="2">
        <f>HLOOKUP($H18,'LCIA Daten manuell'!$A$1:$CU$3,3,FALSE)/1000</f>
        <v>0.48499999999999999</v>
      </c>
      <c r="H18" s="2" t="str">
        <f t="shared" si="0"/>
        <v>sawnwood, beam, softwood, dried (u=20%), planed, at sawmill - CH</v>
      </c>
      <c r="I18" s="36">
        <f>1.5*J18</f>
        <v>1.6301999999999999</v>
      </c>
      <c r="J18" s="36">
        <f>1.04*K18</f>
        <v>1.0868</v>
      </c>
      <c r="K18" s="36">
        <f>0.209+0.836</f>
        <v>1.0449999999999999</v>
      </c>
      <c r="L18" s="2">
        <v>0</v>
      </c>
      <c r="M18" s="2">
        <v>0</v>
      </c>
      <c r="N18" s="2">
        <f>-HLOOKUP("m3 Rundholz/m3 Produkt",$I$2:$K$103,ROW()-1,FALSE)</f>
        <v>-1.6301999999999999</v>
      </c>
      <c r="O18" s="2">
        <v>0</v>
      </c>
      <c r="P18" s="2">
        <v>0</v>
      </c>
      <c r="Q18" s="2">
        <f>-57.312*HLOOKUP("m3 Stufe1/m3 Produkt",$I$2:$K$103,ROW()-1,FALSE)</f>
        <v>-62.286681599999994</v>
      </c>
      <c r="R18" s="2">
        <v>0</v>
      </c>
      <c r="S18" s="2">
        <v>0</v>
      </c>
      <c r="T18" s="2">
        <v>0</v>
      </c>
      <c r="U18" s="2">
        <v>0</v>
      </c>
      <c r="V18" s="2">
        <v>0</v>
      </c>
      <c r="W18" s="2">
        <v>0</v>
      </c>
      <c r="X18" s="2">
        <v>0</v>
      </c>
      <c r="Y18" s="2">
        <v>0</v>
      </c>
      <c r="Z18" s="2">
        <v>0</v>
      </c>
      <c r="AA18" s="2">
        <v>0</v>
      </c>
      <c r="AB18" s="2">
        <v>0</v>
      </c>
      <c r="AC18" s="2">
        <v>0</v>
      </c>
      <c r="AD18" s="2">
        <v>0</v>
      </c>
      <c r="AE18" s="2">
        <v>0</v>
      </c>
      <c r="AF18" s="2">
        <v>0</v>
      </c>
      <c r="AG18" s="2">
        <v>1</v>
      </c>
      <c r="AH18" s="2">
        <v>0</v>
      </c>
      <c r="AI18" s="2">
        <v>0</v>
      </c>
      <c r="AJ18" s="2">
        <v>0</v>
      </c>
      <c r="AK18" s="2">
        <v>0</v>
      </c>
      <c r="AL18" s="2">
        <v>0</v>
      </c>
      <c r="AM18" s="2">
        <v>0</v>
      </c>
      <c r="AN18" s="37">
        <v>0</v>
      </c>
      <c r="AO18" s="2">
        <v>0</v>
      </c>
      <c r="AP18" s="2">
        <v>0</v>
      </c>
      <c r="AQ18" s="2">
        <v>0</v>
      </c>
      <c r="AR18" s="2">
        <v>0</v>
      </c>
      <c r="AS18" s="2">
        <v>0</v>
      </c>
      <c r="AT18" s="2">
        <v>0</v>
      </c>
      <c r="AU18" s="2">
        <v>0</v>
      </c>
      <c r="AV18" s="2">
        <v>0</v>
      </c>
      <c r="AW18" s="2">
        <v>0</v>
      </c>
      <c r="AX18" s="2">
        <v>0</v>
      </c>
      <c r="AY18" s="2">
        <v>0</v>
      </c>
      <c r="AZ18" s="2">
        <v>0</v>
      </c>
      <c r="BA18" s="2">
        <v>0</v>
      </c>
      <c r="BB18" s="2">
        <v>0</v>
      </c>
      <c r="BC18" s="2">
        <v>0</v>
      </c>
      <c r="BD18" s="2">
        <v>0</v>
      </c>
      <c r="BE18" s="2">
        <v>0</v>
      </c>
      <c r="BF18" s="2">
        <v>0</v>
      </c>
      <c r="BG18" s="2">
        <v>0</v>
      </c>
      <c r="BH18" s="2">
        <v>0</v>
      </c>
      <c r="BI18" s="2">
        <v>0</v>
      </c>
      <c r="BJ18" s="2">
        <v>0</v>
      </c>
      <c r="BK18" s="2">
        <v>0</v>
      </c>
      <c r="BL18" s="2">
        <v>0</v>
      </c>
      <c r="BM18" s="2">
        <v>0</v>
      </c>
      <c r="BN18" s="2">
        <v>0</v>
      </c>
      <c r="BO18" s="2">
        <v>0</v>
      </c>
      <c r="BP18" s="2">
        <v>0</v>
      </c>
      <c r="BQ18" s="2">
        <v>0</v>
      </c>
      <c r="BR18" s="2">
        <v>0</v>
      </c>
      <c r="BS18" s="2">
        <v>0</v>
      </c>
      <c r="BT18" s="2">
        <v>0</v>
      </c>
      <c r="BU18" s="2">
        <v>0</v>
      </c>
      <c r="BV18" s="2">
        <v>0</v>
      </c>
      <c r="BW18" s="2">
        <v>0</v>
      </c>
      <c r="BX18" s="2">
        <v>0</v>
      </c>
      <c r="BY18" s="2">
        <v>0</v>
      </c>
      <c r="BZ18" s="2">
        <v>0</v>
      </c>
      <c r="CA18" s="2">
        <v>0</v>
      </c>
      <c r="CB18" s="2">
        <v>0</v>
      </c>
      <c r="CC18" s="2">
        <v>0</v>
      </c>
      <c r="CD18" s="2">
        <v>0</v>
      </c>
      <c r="CE18" s="2">
        <v>0</v>
      </c>
      <c r="CF18" s="2">
        <v>0</v>
      </c>
      <c r="CG18" s="2">
        <v>0</v>
      </c>
      <c r="CH18" s="2">
        <v>0</v>
      </c>
      <c r="CI18" s="2">
        <v>0</v>
      </c>
      <c r="CJ18" s="2">
        <v>0</v>
      </c>
      <c r="CK18" s="2">
        <v>0</v>
      </c>
      <c r="CL18" s="2">
        <v>0</v>
      </c>
      <c r="CM18" s="2">
        <v>0</v>
      </c>
      <c r="CN18" s="2">
        <v>0</v>
      </c>
      <c r="CO18" s="2">
        <v>0</v>
      </c>
      <c r="CP18" s="2">
        <v>0</v>
      </c>
      <c r="CQ18" s="2">
        <v>0</v>
      </c>
      <c r="CR18" s="2">
        <v>0</v>
      </c>
      <c r="CS18" s="2">
        <v>0</v>
      </c>
      <c r="CT18" s="2">
        <v>0</v>
      </c>
      <c r="CU18" s="2">
        <v>0</v>
      </c>
      <c r="CV18" s="2">
        <v>0</v>
      </c>
      <c r="CW18" s="2">
        <v>0</v>
      </c>
      <c r="CX18" s="2">
        <v>0</v>
      </c>
      <c r="CY18" s="2">
        <v>0</v>
      </c>
      <c r="CZ18" s="2">
        <v>0</v>
      </c>
      <c r="DA18" s="2">
        <v>0</v>
      </c>
      <c r="DB18" s="2">
        <v>0</v>
      </c>
      <c r="DC18" s="2">
        <v>0</v>
      </c>
      <c r="DD18" s="2">
        <v>0</v>
      </c>
      <c r="DE18" s="2">
        <f t="shared" si="3"/>
        <v>485</v>
      </c>
      <c r="DF18" s="2">
        <v>0</v>
      </c>
    </row>
    <row r="19" spans="1:110" ht="51" x14ac:dyDescent="0.2">
      <c r="A19" s="2" t="s">
        <v>0</v>
      </c>
      <c r="B19" s="2" t="s">
        <v>4</v>
      </c>
      <c r="C19" s="2" t="s">
        <v>234</v>
      </c>
      <c r="D19" s="2" t="s">
        <v>59</v>
      </c>
      <c r="E19" s="2" t="str">
        <f t="shared" si="1"/>
        <v>Schnittholz Balken Nadelholz sägerau, luftgetrocknet (u=20%) - RER</v>
      </c>
      <c r="F19" s="2" t="s">
        <v>89</v>
      </c>
      <c r="G19" s="2">
        <f>HLOOKUP($H19,'LCIA Daten manuell'!$A$1:$CU$3,3,FALSE)/1000</f>
        <v>0.48499999999999999</v>
      </c>
      <c r="H19" s="2" t="str">
        <f t="shared" si="0"/>
        <v>sawnwood, beam, softwood, raw, air dried (u=20%), at sawmill - RER</v>
      </c>
      <c r="I19" s="36">
        <f t="shared" ref="I19:I23" si="5">1.5*J19</f>
        <v>1.56</v>
      </c>
      <c r="J19" s="36">
        <f>1.04*K19</f>
        <v>1.04</v>
      </c>
      <c r="K19" s="36">
        <v>1</v>
      </c>
      <c r="L19" s="2">
        <v>0</v>
      </c>
      <c r="M19" s="2">
        <f>-HLOOKUP("m3 Rundholz/m3 Produkt",$I$2:$K$103,ROW()-1,FALSE)</f>
        <v>-1.56</v>
      </c>
      <c r="N19" s="2">
        <v>0</v>
      </c>
      <c r="O19" s="2">
        <v>0</v>
      </c>
      <c r="P19" s="2">
        <f>-57.3*HLOOKUP("m3 Stufe1/m3 Produkt",$I$2:$K$103,ROW()-1,FALSE)</f>
        <v>-59.591999999999999</v>
      </c>
      <c r="Q19" s="2">
        <v>0</v>
      </c>
      <c r="R19" s="2">
        <v>0</v>
      </c>
      <c r="S19" s="2">
        <v>0</v>
      </c>
      <c r="T19" s="2">
        <v>0</v>
      </c>
      <c r="U19" s="2">
        <v>0</v>
      </c>
      <c r="V19" s="2">
        <v>0</v>
      </c>
      <c r="W19" s="2">
        <v>0</v>
      </c>
      <c r="X19" s="2">
        <v>0</v>
      </c>
      <c r="Y19" s="2">
        <v>0</v>
      </c>
      <c r="Z19" s="2">
        <v>0</v>
      </c>
      <c r="AA19" s="2">
        <v>0</v>
      </c>
      <c r="AB19" s="2">
        <v>0</v>
      </c>
      <c r="AC19" s="2">
        <v>0</v>
      </c>
      <c r="AD19" s="2">
        <v>1</v>
      </c>
      <c r="AE19" s="2">
        <v>0</v>
      </c>
      <c r="AF19" s="2">
        <v>0</v>
      </c>
      <c r="AG19" s="2">
        <v>0</v>
      </c>
      <c r="AH19" s="2">
        <v>0</v>
      </c>
      <c r="AI19" s="2">
        <v>0</v>
      </c>
      <c r="AJ19" s="2">
        <v>0</v>
      </c>
      <c r="AK19" s="2">
        <v>0</v>
      </c>
      <c r="AL19" s="2">
        <v>0</v>
      </c>
      <c r="AM19" s="2">
        <v>0</v>
      </c>
      <c r="AN19" s="37">
        <v>0</v>
      </c>
      <c r="AO19" s="2">
        <v>0</v>
      </c>
      <c r="AP19" s="2">
        <v>0</v>
      </c>
      <c r="AQ19" s="2">
        <v>0</v>
      </c>
      <c r="AR19" s="2">
        <v>0</v>
      </c>
      <c r="AS19" s="2">
        <v>0</v>
      </c>
      <c r="AT19" s="2">
        <v>0</v>
      </c>
      <c r="AU19" s="2">
        <v>0</v>
      </c>
      <c r="AV19" s="2">
        <v>0</v>
      </c>
      <c r="AW19" s="2">
        <v>0</v>
      </c>
      <c r="AX19" s="2">
        <v>0</v>
      </c>
      <c r="AY19" s="2">
        <v>0</v>
      </c>
      <c r="AZ19" s="2">
        <v>0</v>
      </c>
      <c r="BA19" s="2">
        <v>0</v>
      </c>
      <c r="BB19" s="2">
        <v>0</v>
      </c>
      <c r="BC19" s="2">
        <v>0</v>
      </c>
      <c r="BD19" s="2">
        <v>0</v>
      </c>
      <c r="BE19" s="2">
        <v>0</v>
      </c>
      <c r="BF19" s="2">
        <v>0</v>
      </c>
      <c r="BG19" s="2">
        <v>0</v>
      </c>
      <c r="BH19" s="2">
        <v>0</v>
      </c>
      <c r="BI19" s="2">
        <v>0</v>
      </c>
      <c r="BJ19" s="2">
        <v>0</v>
      </c>
      <c r="BK19" s="2">
        <v>0</v>
      </c>
      <c r="BL19" s="2">
        <v>0</v>
      </c>
      <c r="BM19" s="2">
        <v>0</v>
      </c>
      <c r="BN19" s="2">
        <v>0</v>
      </c>
      <c r="BO19" s="2">
        <v>0</v>
      </c>
      <c r="BP19" s="2">
        <v>0</v>
      </c>
      <c r="BQ19" s="2">
        <v>0</v>
      </c>
      <c r="BR19" s="2">
        <v>0</v>
      </c>
      <c r="BS19" s="2">
        <v>0</v>
      </c>
      <c r="BT19" s="2">
        <v>0</v>
      </c>
      <c r="BU19" s="2">
        <v>0</v>
      </c>
      <c r="BV19" s="2">
        <v>0</v>
      </c>
      <c r="BW19" s="2">
        <v>0</v>
      </c>
      <c r="BX19" s="2">
        <v>0</v>
      </c>
      <c r="BY19" s="2">
        <v>0</v>
      </c>
      <c r="BZ19" s="2">
        <v>0</v>
      </c>
      <c r="CA19" s="2">
        <v>0</v>
      </c>
      <c r="CB19" s="2">
        <v>0</v>
      </c>
      <c r="CC19" s="2">
        <v>0</v>
      </c>
      <c r="CD19" s="2">
        <v>0</v>
      </c>
      <c r="CE19" s="2">
        <v>0</v>
      </c>
      <c r="CF19" s="2">
        <v>0</v>
      </c>
      <c r="CG19" s="2">
        <v>0</v>
      </c>
      <c r="CH19" s="2">
        <v>0</v>
      </c>
      <c r="CI19" s="2">
        <v>0</v>
      </c>
      <c r="CJ19" s="2">
        <v>0</v>
      </c>
      <c r="CK19" s="2">
        <v>0</v>
      </c>
      <c r="CL19" s="2">
        <v>0</v>
      </c>
      <c r="CM19" s="2">
        <v>0</v>
      </c>
      <c r="CN19" s="2">
        <v>0</v>
      </c>
      <c r="CO19" s="2">
        <v>0</v>
      </c>
      <c r="CP19" s="2">
        <v>0</v>
      </c>
      <c r="CQ19" s="2">
        <v>0</v>
      </c>
      <c r="CR19" s="2">
        <v>0</v>
      </c>
      <c r="CS19" s="2">
        <v>0</v>
      </c>
      <c r="CT19" s="2">
        <v>0</v>
      </c>
      <c r="CU19" s="2">
        <v>0</v>
      </c>
      <c r="CV19" s="2">
        <v>0</v>
      </c>
      <c r="CW19" s="2">
        <v>0</v>
      </c>
      <c r="CX19" s="2">
        <v>0</v>
      </c>
      <c r="CY19" s="2">
        <v>0</v>
      </c>
      <c r="CZ19" s="2">
        <v>0</v>
      </c>
      <c r="DA19" s="2">
        <v>0</v>
      </c>
      <c r="DB19" s="2">
        <v>0</v>
      </c>
      <c r="DC19" s="2">
        <v>0</v>
      </c>
      <c r="DD19" s="2">
        <v>0</v>
      </c>
      <c r="DE19" s="2">
        <f t="shared" si="3"/>
        <v>485</v>
      </c>
      <c r="DF19" s="2">
        <v>0</v>
      </c>
    </row>
    <row r="20" spans="1:110" ht="51" x14ac:dyDescent="0.2">
      <c r="A20" s="2" t="s">
        <v>0</v>
      </c>
      <c r="B20" s="2" t="s">
        <v>4</v>
      </c>
      <c r="C20" s="2" t="s">
        <v>235</v>
      </c>
      <c r="D20" s="2" t="s">
        <v>59</v>
      </c>
      <c r="E20" s="2" t="str">
        <f t="shared" si="1"/>
        <v>Schnittholz Balken Nadelholz sägerau, kammergetrocknet (u=20%) - RER</v>
      </c>
      <c r="F20" s="2" t="s">
        <v>89</v>
      </c>
      <c r="G20" s="2">
        <f>HLOOKUP($H20,'LCIA Daten manuell'!$A$1:$CU$3,3,FALSE)/1000</f>
        <v>0.48499999999999999</v>
      </c>
      <c r="H20" s="2" t="str">
        <f t="shared" si="0"/>
        <v>sawnwood, beam, softwood, raw, kiln dried (u=20%), at sawmill - RER</v>
      </c>
      <c r="I20" s="36">
        <f t="shared" si="5"/>
        <v>1.56</v>
      </c>
      <c r="J20" s="36">
        <f>1.04*K20</f>
        <v>1.04</v>
      </c>
      <c r="K20" s="36">
        <v>1</v>
      </c>
      <c r="L20" s="2">
        <v>0</v>
      </c>
      <c r="M20" s="2">
        <f>-HLOOKUP("m3 Rundholz/m3 Produkt",$I$2:$K$103,ROW()-1,FALSE)</f>
        <v>-1.56</v>
      </c>
      <c r="N20" s="2">
        <v>0</v>
      </c>
      <c r="O20" s="2">
        <v>0</v>
      </c>
      <c r="P20" s="2">
        <f>-57.3*HLOOKUP("m3 Stufe1/m3 Produkt",$I$2:$K$103,ROW()-1,FALSE)</f>
        <v>-59.591999999999999</v>
      </c>
      <c r="Q20" s="2">
        <v>0</v>
      </c>
      <c r="R20" s="2">
        <v>0</v>
      </c>
      <c r="S20" s="2">
        <v>0</v>
      </c>
      <c r="T20" s="2">
        <v>0</v>
      </c>
      <c r="U20" s="2">
        <v>0</v>
      </c>
      <c r="V20" s="2">
        <v>0</v>
      </c>
      <c r="W20" s="2">
        <v>0</v>
      </c>
      <c r="X20" s="2">
        <v>0</v>
      </c>
      <c r="Y20" s="2">
        <v>1</v>
      </c>
      <c r="Z20" s="2">
        <v>0</v>
      </c>
      <c r="AA20" s="2">
        <v>0</v>
      </c>
      <c r="AB20" s="2">
        <v>0</v>
      </c>
      <c r="AC20" s="2">
        <v>0</v>
      </c>
      <c r="AD20" s="2">
        <v>0</v>
      </c>
      <c r="AE20" s="2">
        <v>0</v>
      </c>
      <c r="AF20" s="2">
        <v>0</v>
      </c>
      <c r="AG20" s="2">
        <v>0</v>
      </c>
      <c r="AH20" s="2">
        <v>0</v>
      </c>
      <c r="AI20" s="2">
        <v>0</v>
      </c>
      <c r="AJ20" s="2">
        <v>0</v>
      </c>
      <c r="AK20" s="2">
        <v>0</v>
      </c>
      <c r="AL20" s="2">
        <v>0</v>
      </c>
      <c r="AM20" s="2">
        <v>0</v>
      </c>
      <c r="AN20" s="37">
        <v>0</v>
      </c>
      <c r="AO20" s="2">
        <v>0</v>
      </c>
      <c r="AP20" s="2">
        <v>0</v>
      </c>
      <c r="AQ20" s="2">
        <v>0</v>
      </c>
      <c r="AR20" s="2">
        <v>0</v>
      </c>
      <c r="AS20" s="2">
        <v>0</v>
      </c>
      <c r="AT20" s="2">
        <v>0</v>
      </c>
      <c r="AU20" s="2">
        <v>0</v>
      </c>
      <c r="AV20" s="2">
        <v>0</v>
      </c>
      <c r="AW20" s="2">
        <v>0</v>
      </c>
      <c r="AX20" s="2">
        <v>0</v>
      </c>
      <c r="AY20" s="2">
        <v>0</v>
      </c>
      <c r="AZ20" s="2">
        <v>0</v>
      </c>
      <c r="BA20" s="2">
        <v>0</v>
      </c>
      <c r="BB20" s="2">
        <v>0</v>
      </c>
      <c r="BC20" s="2">
        <v>0</v>
      </c>
      <c r="BD20" s="2">
        <v>0</v>
      </c>
      <c r="BE20" s="2">
        <v>0</v>
      </c>
      <c r="BF20" s="2">
        <v>0</v>
      </c>
      <c r="BG20" s="2">
        <v>0</v>
      </c>
      <c r="BH20" s="2">
        <v>0</v>
      </c>
      <c r="BI20" s="2">
        <v>0</v>
      </c>
      <c r="BJ20" s="2">
        <v>0</v>
      </c>
      <c r="BK20" s="2">
        <v>0</v>
      </c>
      <c r="BL20" s="2">
        <v>0</v>
      </c>
      <c r="BM20" s="2">
        <v>0</v>
      </c>
      <c r="BN20" s="2">
        <v>0</v>
      </c>
      <c r="BO20" s="2">
        <v>0</v>
      </c>
      <c r="BP20" s="2">
        <v>0</v>
      </c>
      <c r="BQ20" s="2">
        <v>0</v>
      </c>
      <c r="BR20" s="2">
        <v>0</v>
      </c>
      <c r="BS20" s="2">
        <v>0</v>
      </c>
      <c r="BT20" s="2">
        <v>0</v>
      </c>
      <c r="BU20" s="2">
        <v>0</v>
      </c>
      <c r="BV20" s="2">
        <v>0</v>
      </c>
      <c r="BW20" s="2">
        <v>0</v>
      </c>
      <c r="BX20" s="2">
        <v>0</v>
      </c>
      <c r="BY20" s="2">
        <v>0</v>
      </c>
      <c r="BZ20" s="2">
        <v>0</v>
      </c>
      <c r="CA20" s="2">
        <v>0</v>
      </c>
      <c r="CB20" s="2">
        <v>0</v>
      </c>
      <c r="CC20" s="2">
        <v>0</v>
      </c>
      <c r="CD20" s="2">
        <v>0</v>
      </c>
      <c r="CE20" s="2">
        <v>0</v>
      </c>
      <c r="CF20" s="2">
        <v>0</v>
      </c>
      <c r="CG20" s="2">
        <v>0</v>
      </c>
      <c r="CH20" s="2">
        <v>0</v>
      </c>
      <c r="CI20" s="2">
        <v>0</v>
      </c>
      <c r="CJ20" s="2">
        <v>0</v>
      </c>
      <c r="CK20" s="2">
        <v>0</v>
      </c>
      <c r="CL20" s="2">
        <v>0</v>
      </c>
      <c r="CM20" s="2">
        <v>0</v>
      </c>
      <c r="CN20" s="2">
        <v>0</v>
      </c>
      <c r="CO20" s="2">
        <v>0</v>
      </c>
      <c r="CP20" s="2">
        <v>0</v>
      </c>
      <c r="CQ20" s="2">
        <v>0</v>
      </c>
      <c r="CR20" s="2">
        <v>0</v>
      </c>
      <c r="CS20" s="2">
        <v>0</v>
      </c>
      <c r="CT20" s="2">
        <v>0</v>
      </c>
      <c r="CU20" s="2">
        <v>0</v>
      </c>
      <c r="CV20" s="2">
        <v>0</v>
      </c>
      <c r="CW20" s="2">
        <v>0</v>
      </c>
      <c r="CX20" s="2">
        <v>0</v>
      </c>
      <c r="CY20" s="2">
        <v>0</v>
      </c>
      <c r="CZ20" s="2">
        <v>0</v>
      </c>
      <c r="DA20" s="2">
        <v>0</v>
      </c>
      <c r="DB20" s="2">
        <v>0</v>
      </c>
      <c r="DC20" s="2">
        <v>0</v>
      </c>
      <c r="DD20" s="2">
        <v>0</v>
      </c>
      <c r="DE20" s="2">
        <f t="shared" si="3"/>
        <v>485</v>
      </c>
      <c r="DF20" s="2">
        <v>0</v>
      </c>
    </row>
    <row r="21" spans="1:110" ht="51" x14ac:dyDescent="0.2">
      <c r="A21" s="2" t="s">
        <v>0</v>
      </c>
      <c r="B21" s="2" t="s">
        <v>4</v>
      </c>
      <c r="C21" s="2" t="s">
        <v>236</v>
      </c>
      <c r="D21" s="2" t="s">
        <v>59</v>
      </c>
      <c r="E21" s="2" t="str">
        <f t="shared" si="1"/>
        <v>Schnittholz Balken Nadelholz sägerau, kammergetrocknet (u=10%) - RER</v>
      </c>
      <c r="F21" s="2" t="s">
        <v>89</v>
      </c>
      <c r="G21" s="2">
        <f>HLOOKUP($H21,'LCIA Daten manuell'!$A$1:$CU$3,3,FALSE)/1000</f>
        <v>0.46500000000000002</v>
      </c>
      <c r="H21" s="2" t="str">
        <f t="shared" si="0"/>
        <v>sawnwood, beam, softwood, raw, kiln dried (u=10%), at sawmill - RER</v>
      </c>
      <c r="I21" s="36">
        <f t="shared" si="5"/>
        <v>1.6350000000000002</v>
      </c>
      <c r="J21" s="36">
        <f>1.09*K21</f>
        <v>1.0900000000000001</v>
      </c>
      <c r="K21" s="36">
        <v>1</v>
      </c>
      <c r="L21" s="2">
        <v>0</v>
      </c>
      <c r="M21" s="2">
        <f>-HLOOKUP("m3 Rundholz/m3 Produkt",$I$2:$K$103,ROW()-1,FALSE)</f>
        <v>-1.6350000000000002</v>
      </c>
      <c r="N21" s="2">
        <v>0</v>
      </c>
      <c r="O21" s="2">
        <v>0</v>
      </c>
      <c r="P21" s="2">
        <f>-57.3*HLOOKUP("m3 Stufe1/m3 Produkt",$I$2:$K$103,ROW()-1,FALSE)</f>
        <v>-62.457000000000001</v>
      </c>
      <c r="Q21" s="2">
        <v>0</v>
      </c>
      <c r="R21" s="2">
        <v>0</v>
      </c>
      <c r="S21" s="2">
        <v>0</v>
      </c>
      <c r="T21" s="2">
        <v>0</v>
      </c>
      <c r="U21" s="2">
        <v>0</v>
      </c>
      <c r="V21" s="2">
        <v>0</v>
      </c>
      <c r="W21" s="2">
        <v>0</v>
      </c>
      <c r="X21" s="2">
        <v>0</v>
      </c>
      <c r="Y21" s="2">
        <v>0</v>
      </c>
      <c r="Z21" s="2">
        <v>1</v>
      </c>
      <c r="AA21" s="2">
        <v>0</v>
      </c>
      <c r="AB21" s="2">
        <v>0</v>
      </c>
      <c r="AC21" s="2">
        <v>0</v>
      </c>
      <c r="AD21" s="2">
        <v>0</v>
      </c>
      <c r="AE21" s="2">
        <v>0</v>
      </c>
      <c r="AF21" s="2">
        <v>0</v>
      </c>
      <c r="AG21" s="2">
        <v>0</v>
      </c>
      <c r="AH21" s="2">
        <v>0</v>
      </c>
      <c r="AI21" s="2">
        <v>0</v>
      </c>
      <c r="AJ21" s="2">
        <v>0</v>
      </c>
      <c r="AK21" s="2">
        <v>0</v>
      </c>
      <c r="AL21" s="2">
        <v>0</v>
      </c>
      <c r="AM21" s="2">
        <v>0</v>
      </c>
      <c r="AN21" s="37">
        <v>0</v>
      </c>
      <c r="AO21" s="2">
        <v>0</v>
      </c>
      <c r="AP21" s="2">
        <v>0</v>
      </c>
      <c r="AQ21" s="2">
        <v>0</v>
      </c>
      <c r="AR21" s="2">
        <v>0</v>
      </c>
      <c r="AS21" s="2">
        <v>0</v>
      </c>
      <c r="AT21" s="2">
        <v>0</v>
      </c>
      <c r="AU21" s="2">
        <v>0</v>
      </c>
      <c r="AV21" s="2">
        <v>0</v>
      </c>
      <c r="AW21" s="2">
        <v>0</v>
      </c>
      <c r="AX21" s="2">
        <v>0</v>
      </c>
      <c r="AY21" s="2">
        <v>0</v>
      </c>
      <c r="AZ21" s="2">
        <v>0</v>
      </c>
      <c r="BA21" s="2">
        <v>0</v>
      </c>
      <c r="BB21" s="2">
        <v>0</v>
      </c>
      <c r="BC21" s="2">
        <v>0</v>
      </c>
      <c r="BD21" s="2">
        <v>0</v>
      </c>
      <c r="BE21" s="2">
        <v>0</v>
      </c>
      <c r="BF21" s="2">
        <v>0</v>
      </c>
      <c r="BG21" s="2">
        <v>0</v>
      </c>
      <c r="BH21" s="2">
        <v>0</v>
      </c>
      <c r="BI21" s="2">
        <v>0</v>
      </c>
      <c r="BJ21" s="2">
        <v>0</v>
      </c>
      <c r="BK21" s="2">
        <v>0</v>
      </c>
      <c r="BL21" s="2">
        <v>0</v>
      </c>
      <c r="BM21" s="2">
        <v>0</v>
      </c>
      <c r="BN21" s="2">
        <v>0</v>
      </c>
      <c r="BO21" s="2">
        <v>0</v>
      </c>
      <c r="BP21" s="2">
        <v>0</v>
      </c>
      <c r="BQ21" s="2">
        <v>0</v>
      </c>
      <c r="BR21" s="2">
        <v>0</v>
      </c>
      <c r="BS21" s="2">
        <v>0</v>
      </c>
      <c r="BT21" s="2">
        <v>0</v>
      </c>
      <c r="BU21" s="2">
        <v>0</v>
      </c>
      <c r="BV21" s="2">
        <v>0</v>
      </c>
      <c r="BW21" s="2">
        <v>0</v>
      </c>
      <c r="BX21" s="2">
        <v>0</v>
      </c>
      <c r="BY21" s="2">
        <v>0</v>
      </c>
      <c r="BZ21" s="2">
        <v>0</v>
      </c>
      <c r="CA21" s="2">
        <v>0</v>
      </c>
      <c r="CB21" s="2">
        <v>0</v>
      </c>
      <c r="CC21" s="2">
        <v>0</v>
      </c>
      <c r="CD21" s="2">
        <v>0</v>
      </c>
      <c r="CE21" s="2">
        <v>0</v>
      </c>
      <c r="CF21" s="2">
        <v>0</v>
      </c>
      <c r="CG21" s="2">
        <v>0</v>
      </c>
      <c r="CH21" s="2">
        <v>0</v>
      </c>
      <c r="CI21" s="2">
        <v>0</v>
      </c>
      <c r="CJ21" s="2">
        <v>0</v>
      </c>
      <c r="CK21" s="2">
        <v>0</v>
      </c>
      <c r="CL21" s="2">
        <v>0</v>
      </c>
      <c r="CM21" s="2">
        <v>0</v>
      </c>
      <c r="CN21" s="2">
        <v>0</v>
      </c>
      <c r="CO21" s="2">
        <v>0</v>
      </c>
      <c r="CP21" s="2">
        <v>0</v>
      </c>
      <c r="CQ21" s="2">
        <v>0</v>
      </c>
      <c r="CR21" s="2">
        <v>0</v>
      </c>
      <c r="CS21" s="2">
        <v>0</v>
      </c>
      <c r="CT21" s="2">
        <v>0</v>
      </c>
      <c r="CU21" s="2">
        <v>0</v>
      </c>
      <c r="CV21" s="2">
        <v>0</v>
      </c>
      <c r="CW21" s="2">
        <v>0</v>
      </c>
      <c r="CX21" s="2">
        <v>0</v>
      </c>
      <c r="CY21" s="2">
        <v>0</v>
      </c>
      <c r="CZ21" s="2">
        <v>0</v>
      </c>
      <c r="DA21" s="2">
        <v>0</v>
      </c>
      <c r="DB21" s="2">
        <v>0</v>
      </c>
      <c r="DC21" s="2">
        <v>0</v>
      </c>
      <c r="DD21" s="2">
        <v>0</v>
      </c>
      <c r="DE21" s="2">
        <f t="shared" si="3"/>
        <v>465</v>
      </c>
      <c r="DF21" s="2">
        <v>0</v>
      </c>
    </row>
    <row r="22" spans="1:110" ht="51" x14ac:dyDescent="0.2">
      <c r="A22" s="2" t="s">
        <v>0</v>
      </c>
      <c r="B22" s="2" t="s">
        <v>4</v>
      </c>
      <c r="C22" s="2" t="s">
        <v>237</v>
      </c>
      <c r="D22" s="2" t="s">
        <v>59</v>
      </c>
      <c r="E22" s="2" t="str">
        <f t="shared" si="1"/>
        <v>Schnittholz Balken Nadelholz gehobelt, kammergetrocknet, (u=10%) - RER</v>
      </c>
      <c r="F22" s="2" t="s">
        <v>89</v>
      </c>
      <c r="G22" s="2">
        <f>HLOOKUP($H22,'LCIA Daten manuell'!$A$1:$CU$3,3,FALSE)/1000</f>
        <v>0.46500000000000002</v>
      </c>
      <c r="H22" s="2" t="str">
        <f t="shared" si="0"/>
        <v>sawnwood, beam, softwood, dried (u=10%), planed, at sawmill - RER</v>
      </c>
      <c r="I22" s="36">
        <f t="shared" si="5"/>
        <v>1.7004000000000001</v>
      </c>
      <c r="J22" s="36">
        <f t="shared" ref="J22" si="6">1.09*K22</f>
        <v>1.1336000000000002</v>
      </c>
      <c r="K22" s="36">
        <v>1.04</v>
      </c>
      <c r="L22" s="2">
        <v>0</v>
      </c>
      <c r="M22" s="2">
        <f>-HLOOKUP("m3 Rundholz/m3 Produkt",$I$2:$K$103,ROW()-1,FALSE)</f>
        <v>-1.7004000000000001</v>
      </c>
      <c r="N22" s="2">
        <v>0</v>
      </c>
      <c r="O22" s="2">
        <v>0</v>
      </c>
      <c r="P22" s="2">
        <f>-57.3*HLOOKUP("m3 Stufe1/m3 Produkt",$I$2:$K$103,ROW()-1,FALSE)</f>
        <v>-64.955280000000002</v>
      </c>
      <c r="Q22" s="2">
        <v>0</v>
      </c>
      <c r="R22" s="2">
        <v>0</v>
      </c>
      <c r="S22" s="2">
        <v>0</v>
      </c>
      <c r="T22" s="2">
        <v>0</v>
      </c>
      <c r="U22" s="2">
        <v>0</v>
      </c>
      <c r="V22" s="2">
        <v>0</v>
      </c>
      <c r="W22" s="2">
        <v>0</v>
      </c>
      <c r="X22" s="2">
        <v>0</v>
      </c>
      <c r="Y22" s="2">
        <v>0</v>
      </c>
      <c r="Z22" s="2">
        <v>0</v>
      </c>
      <c r="AA22" s="2">
        <v>0</v>
      </c>
      <c r="AB22" s="2">
        <v>0</v>
      </c>
      <c r="AC22" s="2">
        <v>1</v>
      </c>
      <c r="AD22" s="2">
        <v>0</v>
      </c>
      <c r="AE22" s="2">
        <v>0</v>
      </c>
      <c r="AF22" s="2">
        <v>0</v>
      </c>
      <c r="AG22" s="2">
        <v>0</v>
      </c>
      <c r="AH22" s="2">
        <v>0</v>
      </c>
      <c r="AI22" s="2">
        <v>0</v>
      </c>
      <c r="AJ22" s="2">
        <v>0</v>
      </c>
      <c r="AK22" s="2">
        <v>0</v>
      </c>
      <c r="AL22" s="2">
        <v>0</v>
      </c>
      <c r="AM22" s="2">
        <v>0</v>
      </c>
      <c r="AN22" s="37">
        <v>0</v>
      </c>
      <c r="AO22" s="2">
        <v>0</v>
      </c>
      <c r="AP22" s="2">
        <v>0</v>
      </c>
      <c r="AQ22" s="2">
        <v>0</v>
      </c>
      <c r="AR22" s="2">
        <v>0</v>
      </c>
      <c r="AS22" s="2">
        <v>0</v>
      </c>
      <c r="AT22" s="2">
        <v>0</v>
      </c>
      <c r="AU22" s="2">
        <v>0</v>
      </c>
      <c r="AV22" s="2">
        <v>0</v>
      </c>
      <c r="AW22" s="2">
        <v>0</v>
      </c>
      <c r="AX22" s="2">
        <v>0</v>
      </c>
      <c r="AY22" s="2">
        <v>0</v>
      </c>
      <c r="AZ22" s="2">
        <v>0</v>
      </c>
      <c r="BA22" s="2">
        <v>0</v>
      </c>
      <c r="BB22" s="2">
        <v>0</v>
      </c>
      <c r="BC22" s="2">
        <v>0</v>
      </c>
      <c r="BD22" s="2">
        <v>0</v>
      </c>
      <c r="BE22" s="2">
        <v>0</v>
      </c>
      <c r="BF22" s="2">
        <v>0</v>
      </c>
      <c r="BG22" s="2">
        <v>0</v>
      </c>
      <c r="BH22" s="2">
        <v>0</v>
      </c>
      <c r="BI22" s="2">
        <v>0</v>
      </c>
      <c r="BJ22" s="2">
        <v>0</v>
      </c>
      <c r="BK22" s="2">
        <v>0</v>
      </c>
      <c r="BL22" s="2">
        <v>0</v>
      </c>
      <c r="BM22" s="2">
        <v>0</v>
      </c>
      <c r="BN22" s="2">
        <v>0</v>
      </c>
      <c r="BO22" s="2">
        <v>0</v>
      </c>
      <c r="BP22" s="2">
        <v>0</v>
      </c>
      <c r="BQ22" s="2">
        <v>0</v>
      </c>
      <c r="BR22" s="2">
        <v>0</v>
      </c>
      <c r="BS22" s="2">
        <v>0</v>
      </c>
      <c r="BT22" s="2">
        <v>0</v>
      </c>
      <c r="BU22" s="2">
        <v>0</v>
      </c>
      <c r="BV22" s="2">
        <v>0</v>
      </c>
      <c r="BW22" s="2">
        <v>0</v>
      </c>
      <c r="BX22" s="2">
        <v>0</v>
      </c>
      <c r="BY22" s="2">
        <v>0</v>
      </c>
      <c r="BZ22" s="2">
        <v>0</v>
      </c>
      <c r="CA22" s="2">
        <v>0</v>
      </c>
      <c r="CB22" s="2">
        <v>0</v>
      </c>
      <c r="CC22" s="2">
        <v>0</v>
      </c>
      <c r="CD22" s="2">
        <v>0</v>
      </c>
      <c r="CE22" s="2">
        <v>0</v>
      </c>
      <c r="CF22" s="2">
        <v>0</v>
      </c>
      <c r="CG22" s="2">
        <v>0</v>
      </c>
      <c r="CH22" s="2">
        <v>0</v>
      </c>
      <c r="CI22" s="2">
        <v>0</v>
      </c>
      <c r="CJ22" s="2">
        <v>0</v>
      </c>
      <c r="CK22" s="2">
        <v>0</v>
      </c>
      <c r="CL22" s="2">
        <v>0</v>
      </c>
      <c r="CM22" s="2">
        <v>0</v>
      </c>
      <c r="CN22" s="2">
        <v>0</v>
      </c>
      <c r="CO22" s="2">
        <v>0</v>
      </c>
      <c r="CP22" s="2">
        <v>0</v>
      </c>
      <c r="CQ22" s="2">
        <v>0</v>
      </c>
      <c r="CR22" s="2">
        <v>0</v>
      </c>
      <c r="CS22" s="2">
        <v>0</v>
      </c>
      <c r="CT22" s="2">
        <v>0</v>
      </c>
      <c r="CU22" s="2">
        <v>0</v>
      </c>
      <c r="CV22" s="2">
        <v>0</v>
      </c>
      <c r="CW22" s="2">
        <v>0</v>
      </c>
      <c r="CX22" s="2">
        <v>0</v>
      </c>
      <c r="CY22" s="2">
        <v>0</v>
      </c>
      <c r="CZ22" s="2">
        <v>0</v>
      </c>
      <c r="DA22" s="2">
        <v>0</v>
      </c>
      <c r="DB22" s="2">
        <v>0</v>
      </c>
      <c r="DC22" s="2">
        <v>0</v>
      </c>
      <c r="DD22" s="2">
        <v>0</v>
      </c>
      <c r="DE22" s="2">
        <f t="shared" si="3"/>
        <v>465</v>
      </c>
      <c r="DF22" s="2">
        <v>0</v>
      </c>
    </row>
    <row r="23" spans="1:110" ht="34" x14ac:dyDescent="0.2">
      <c r="A23" s="2" t="s">
        <v>0</v>
      </c>
      <c r="B23" s="2" t="s">
        <v>4</v>
      </c>
      <c r="C23" s="2" t="s">
        <v>238</v>
      </c>
      <c r="D23" s="2" t="s">
        <v>59</v>
      </c>
      <c r="E23" s="2" t="str">
        <f t="shared" si="1"/>
        <v>Schnittholz Balken Nadelholz gehobelt, getrocknet, (u=20%) - RER</v>
      </c>
      <c r="F23" s="2" t="s">
        <v>89</v>
      </c>
      <c r="G23" s="2">
        <f>HLOOKUP($H23,'LCIA Daten manuell'!$A$1:$CU$3,3,FALSE)/1000</f>
        <v>0.48499999999999999</v>
      </c>
      <c r="H23" s="2" t="str">
        <f t="shared" si="0"/>
        <v>sawnwood, beam, softwood, dried (u=20%), planed, at sawmill - RER</v>
      </c>
      <c r="I23" s="36">
        <f t="shared" si="5"/>
        <v>1.6301999999999999</v>
      </c>
      <c r="J23" s="36">
        <f>1.04*K23</f>
        <v>1.0868</v>
      </c>
      <c r="K23" s="36">
        <f>0.209+0.836</f>
        <v>1.0449999999999999</v>
      </c>
      <c r="L23" s="2">
        <v>0</v>
      </c>
      <c r="M23" s="2">
        <f>-HLOOKUP("m3 Rundholz/m3 Produkt",$I$2:$K$103,ROW()-1,FALSE)</f>
        <v>-1.6301999999999999</v>
      </c>
      <c r="N23" s="2">
        <v>0</v>
      </c>
      <c r="O23" s="2">
        <v>0</v>
      </c>
      <c r="P23" s="2">
        <f>-57.3*HLOOKUP("m3 Stufe1/m3 Produkt",$I$2:$K$103,ROW()-1,FALSE)</f>
        <v>-62.273639999999993</v>
      </c>
      <c r="Q23" s="2">
        <v>0</v>
      </c>
      <c r="R23" s="2">
        <v>0</v>
      </c>
      <c r="S23" s="2">
        <v>0</v>
      </c>
      <c r="T23" s="2">
        <v>0</v>
      </c>
      <c r="U23" s="2">
        <v>0</v>
      </c>
      <c r="V23" s="2">
        <v>0</v>
      </c>
      <c r="W23" s="2">
        <v>0</v>
      </c>
      <c r="X23" s="2">
        <v>0</v>
      </c>
      <c r="Y23" s="2">
        <v>0</v>
      </c>
      <c r="Z23" s="2">
        <v>0</v>
      </c>
      <c r="AA23" s="2">
        <v>0</v>
      </c>
      <c r="AB23" s="2">
        <v>0</v>
      </c>
      <c r="AC23" s="2">
        <v>0</v>
      </c>
      <c r="AD23" s="2">
        <v>0</v>
      </c>
      <c r="AE23" s="2">
        <v>1</v>
      </c>
      <c r="AF23" s="2">
        <v>0</v>
      </c>
      <c r="AG23" s="2">
        <v>0</v>
      </c>
      <c r="AH23" s="2">
        <v>0</v>
      </c>
      <c r="AI23" s="2">
        <v>0</v>
      </c>
      <c r="AJ23" s="2">
        <v>0</v>
      </c>
      <c r="AK23" s="2">
        <v>0</v>
      </c>
      <c r="AL23" s="2">
        <v>0</v>
      </c>
      <c r="AM23" s="2">
        <v>0</v>
      </c>
      <c r="AN23" s="37">
        <v>0</v>
      </c>
      <c r="AO23" s="2">
        <v>0</v>
      </c>
      <c r="AP23" s="2">
        <v>0</v>
      </c>
      <c r="AQ23" s="2">
        <v>0</v>
      </c>
      <c r="AR23" s="2">
        <v>0</v>
      </c>
      <c r="AS23" s="2">
        <v>0</v>
      </c>
      <c r="AT23" s="2">
        <v>0</v>
      </c>
      <c r="AU23" s="2">
        <v>0</v>
      </c>
      <c r="AV23" s="2">
        <v>0</v>
      </c>
      <c r="AW23" s="2">
        <v>0</v>
      </c>
      <c r="AX23" s="2">
        <v>0</v>
      </c>
      <c r="AY23" s="2">
        <v>0</v>
      </c>
      <c r="AZ23" s="2">
        <v>0</v>
      </c>
      <c r="BA23" s="2">
        <v>0</v>
      </c>
      <c r="BB23" s="2">
        <v>0</v>
      </c>
      <c r="BC23" s="2">
        <v>0</v>
      </c>
      <c r="BD23" s="2">
        <v>0</v>
      </c>
      <c r="BE23" s="2">
        <v>0</v>
      </c>
      <c r="BF23" s="2">
        <v>0</v>
      </c>
      <c r="BG23" s="2">
        <v>0</v>
      </c>
      <c r="BH23" s="2">
        <v>0</v>
      </c>
      <c r="BI23" s="2">
        <v>0</v>
      </c>
      <c r="BJ23" s="2">
        <v>0</v>
      </c>
      <c r="BK23" s="2">
        <v>0</v>
      </c>
      <c r="BL23" s="2">
        <v>0</v>
      </c>
      <c r="BM23" s="2">
        <v>0</v>
      </c>
      <c r="BN23" s="2">
        <v>0</v>
      </c>
      <c r="BO23" s="2">
        <v>0</v>
      </c>
      <c r="BP23" s="2">
        <v>0</v>
      </c>
      <c r="BQ23" s="2">
        <v>0</v>
      </c>
      <c r="BR23" s="2">
        <v>0</v>
      </c>
      <c r="BS23" s="2">
        <v>0</v>
      </c>
      <c r="BT23" s="2">
        <v>0</v>
      </c>
      <c r="BU23" s="2">
        <v>0</v>
      </c>
      <c r="BV23" s="2">
        <v>0</v>
      </c>
      <c r="BW23" s="2">
        <v>0</v>
      </c>
      <c r="BX23" s="2">
        <v>0</v>
      </c>
      <c r="BY23" s="2">
        <v>0</v>
      </c>
      <c r="BZ23" s="2">
        <v>0</v>
      </c>
      <c r="CA23" s="2">
        <v>0</v>
      </c>
      <c r="CB23" s="2">
        <v>0</v>
      </c>
      <c r="CC23" s="2">
        <v>0</v>
      </c>
      <c r="CD23" s="2">
        <v>0</v>
      </c>
      <c r="CE23" s="2">
        <v>0</v>
      </c>
      <c r="CF23" s="2">
        <v>0</v>
      </c>
      <c r="CG23" s="2">
        <v>0</v>
      </c>
      <c r="CH23" s="2">
        <v>0</v>
      </c>
      <c r="CI23" s="2">
        <v>0</v>
      </c>
      <c r="CJ23" s="2">
        <v>0</v>
      </c>
      <c r="CK23" s="2">
        <v>0</v>
      </c>
      <c r="CL23" s="2">
        <v>0</v>
      </c>
      <c r="CM23" s="2">
        <v>0</v>
      </c>
      <c r="CN23" s="2">
        <v>0</v>
      </c>
      <c r="CO23" s="2">
        <v>0</v>
      </c>
      <c r="CP23" s="2">
        <v>0</v>
      </c>
      <c r="CQ23" s="2">
        <v>0</v>
      </c>
      <c r="CR23" s="2">
        <v>0</v>
      </c>
      <c r="CS23" s="2">
        <v>0</v>
      </c>
      <c r="CT23" s="2">
        <v>0</v>
      </c>
      <c r="CU23" s="2">
        <v>0</v>
      </c>
      <c r="CV23" s="2">
        <v>0</v>
      </c>
      <c r="CW23" s="2">
        <v>0</v>
      </c>
      <c r="CX23" s="2">
        <v>0</v>
      </c>
      <c r="CY23" s="2">
        <v>0</v>
      </c>
      <c r="CZ23" s="2">
        <v>0</v>
      </c>
      <c r="DA23" s="2">
        <v>0</v>
      </c>
      <c r="DB23" s="2">
        <v>0</v>
      </c>
      <c r="DC23" s="2">
        <v>0</v>
      </c>
      <c r="DD23" s="2">
        <v>0</v>
      </c>
      <c r="DE23" s="2">
        <f t="shared" si="3"/>
        <v>485</v>
      </c>
      <c r="DF23" s="2">
        <v>0</v>
      </c>
    </row>
    <row r="24" spans="1:110" ht="51" x14ac:dyDescent="0.2">
      <c r="A24" s="2" t="s">
        <v>0</v>
      </c>
      <c r="B24" s="2" t="s">
        <v>7</v>
      </c>
      <c r="C24" s="2" t="s">
        <v>234</v>
      </c>
      <c r="D24" s="2" t="s">
        <v>58</v>
      </c>
      <c r="E24" s="2" t="str">
        <f t="shared" si="1"/>
        <v>Schnittholz Bretter Laubholz sägerau, luftgetrocknet (u=20%) - CH</v>
      </c>
      <c r="F24" s="2" t="s">
        <v>88</v>
      </c>
      <c r="G24" s="2">
        <f>HLOOKUP($H24,'LCIA Daten manuell'!$A$1:$CU$3,3,FALSE)/1000</f>
        <v>0.70499999999999996</v>
      </c>
      <c r="H24" s="2" t="str">
        <f t="shared" si="0"/>
        <v>sawnwood, board, hardwood, raw, air dried (u=20%), at sawmill - CH</v>
      </c>
      <c r="I24" s="36">
        <f>(1.29+0.228)*J24</f>
        <v>1.5787200000000001</v>
      </c>
      <c r="J24" s="36">
        <f>1.04*K24</f>
        <v>1.04</v>
      </c>
      <c r="K24" s="36">
        <v>1</v>
      </c>
      <c r="L24" s="2">
        <f>-1.29*HLOOKUP("m3 Stufe1/m3 Produkt",$I$2:$K$103,ROW()-1,FALSE)</f>
        <v>-1.3416000000000001</v>
      </c>
      <c r="M24" s="2">
        <f>-0.228*HLOOKUP("m3 Stufe1/m3 Produkt",$I$2:$K$103,ROW()-1,FALSE)</f>
        <v>-0.23712000000000003</v>
      </c>
      <c r="N24" s="2">
        <v>0</v>
      </c>
      <c r="O24" s="2">
        <v>0</v>
      </c>
      <c r="P24" s="2">
        <v>0</v>
      </c>
      <c r="Q24" s="2">
        <f>-68.19*HLOOKUP("m3 Stufe1/m3 Produkt",$I$2:$K$103,ROW()-1,FALSE)</f>
        <v>-70.917599999999993</v>
      </c>
      <c r="R24" s="2">
        <v>0</v>
      </c>
      <c r="S24" s="2">
        <v>0</v>
      </c>
      <c r="T24" s="2">
        <v>0</v>
      </c>
      <c r="U24" s="2">
        <v>0</v>
      </c>
      <c r="V24" s="2">
        <v>0</v>
      </c>
      <c r="W24" s="2">
        <v>0</v>
      </c>
      <c r="X24" s="2">
        <v>0</v>
      </c>
      <c r="Y24" s="2">
        <v>0</v>
      </c>
      <c r="Z24" s="2">
        <v>0</v>
      </c>
      <c r="AA24" s="2">
        <v>0</v>
      </c>
      <c r="AB24" s="2">
        <v>0</v>
      </c>
      <c r="AC24" s="2">
        <v>0</v>
      </c>
      <c r="AD24" s="2">
        <v>0</v>
      </c>
      <c r="AE24" s="2">
        <v>0</v>
      </c>
      <c r="AF24" s="2">
        <v>0</v>
      </c>
      <c r="AG24" s="2">
        <v>0</v>
      </c>
      <c r="AH24" s="2">
        <v>0</v>
      </c>
      <c r="AI24" s="2">
        <v>0</v>
      </c>
      <c r="AJ24" s="2">
        <v>0</v>
      </c>
      <c r="AK24" s="2">
        <v>0</v>
      </c>
      <c r="AL24" s="2">
        <v>0</v>
      </c>
      <c r="AM24" s="2">
        <v>0</v>
      </c>
      <c r="AN24" s="37">
        <v>0</v>
      </c>
      <c r="AO24" s="2">
        <v>0</v>
      </c>
      <c r="AP24" s="2">
        <v>0</v>
      </c>
      <c r="AQ24" s="2">
        <v>0</v>
      </c>
      <c r="AR24" s="2">
        <v>0</v>
      </c>
      <c r="AS24" s="2">
        <v>0</v>
      </c>
      <c r="AT24" s="2">
        <v>0</v>
      </c>
      <c r="AU24" s="2">
        <v>0</v>
      </c>
      <c r="AV24" s="2">
        <v>0</v>
      </c>
      <c r="AW24" s="2">
        <v>0</v>
      </c>
      <c r="AX24" s="2">
        <v>0</v>
      </c>
      <c r="AY24" s="2">
        <v>0</v>
      </c>
      <c r="AZ24" s="2">
        <v>0</v>
      </c>
      <c r="BA24" s="2">
        <v>0</v>
      </c>
      <c r="BB24" s="2">
        <v>1</v>
      </c>
      <c r="BC24" s="2">
        <v>0</v>
      </c>
      <c r="BD24" s="2">
        <v>0</v>
      </c>
      <c r="BE24" s="2">
        <v>0</v>
      </c>
      <c r="BF24" s="2">
        <v>0</v>
      </c>
      <c r="BG24" s="2">
        <v>0</v>
      </c>
      <c r="BH24" s="2">
        <v>0</v>
      </c>
      <c r="BI24" s="2">
        <v>0</v>
      </c>
      <c r="BJ24" s="2">
        <v>0</v>
      </c>
      <c r="BK24" s="2">
        <v>0</v>
      </c>
      <c r="BL24" s="2">
        <v>0</v>
      </c>
      <c r="BM24" s="2">
        <v>0</v>
      </c>
      <c r="BN24" s="2">
        <v>0</v>
      </c>
      <c r="BO24" s="2">
        <v>0</v>
      </c>
      <c r="BP24" s="2">
        <v>0</v>
      </c>
      <c r="BQ24" s="2">
        <v>0</v>
      </c>
      <c r="BR24" s="2">
        <v>0</v>
      </c>
      <c r="BS24" s="2">
        <v>0</v>
      </c>
      <c r="BT24" s="2">
        <v>0</v>
      </c>
      <c r="BU24" s="2">
        <v>0</v>
      </c>
      <c r="BV24" s="2">
        <v>0</v>
      </c>
      <c r="BW24" s="2">
        <v>0</v>
      </c>
      <c r="BX24" s="2">
        <v>0</v>
      </c>
      <c r="BY24" s="2">
        <v>0</v>
      </c>
      <c r="BZ24" s="2">
        <v>0</v>
      </c>
      <c r="CA24" s="2">
        <v>0</v>
      </c>
      <c r="CB24" s="2">
        <v>0</v>
      </c>
      <c r="CC24" s="2">
        <v>0</v>
      </c>
      <c r="CD24" s="2">
        <v>0</v>
      </c>
      <c r="CE24" s="2">
        <v>0</v>
      </c>
      <c r="CF24" s="2">
        <v>0</v>
      </c>
      <c r="CG24" s="2">
        <v>0</v>
      </c>
      <c r="CH24" s="2">
        <v>0</v>
      </c>
      <c r="CI24" s="2">
        <v>0</v>
      </c>
      <c r="CJ24" s="2">
        <v>0</v>
      </c>
      <c r="CK24" s="2">
        <v>0</v>
      </c>
      <c r="CL24" s="2">
        <v>0</v>
      </c>
      <c r="CM24" s="2">
        <v>0</v>
      </c>
      <c r="CN24" s="2">
        <v>0</v>
      </c>
      <c r="CO24" s="2">
        <v>0</v>
      </c>
      <c r="CP24" s="2">
        <v>0</v>
      </c>
      <c r="CQ24" s="2">
        <v>0</v>
      </c>
      <c r="CR24" s="2">
        <v>0</v>
      </c>
      <c r="CS24" s="2">
        <v>0</v>
      </c>
      <c r="CT24" s="2">
        <v>0</v>
      </c>
      <c r="CU24" s="2">
        <v>0</v>
      </c>
      <c r="CV24" s="2">
        <v>0</v>
      </c>
      <c r="CW24" s="2">
        <v>0</v>
      </c>
      <c r="CX24" s="2">
        <v>0</v>
      </c>
      <c r="CY24" s="2">
        <v>0</v>
      </c>
      <c r="CZ24" s="2">
        <v>0</v>
      </c>
      <c r="DA24" s="2">
        <v>0</v>
      </c>
      <c r="DB24" s="2">
        <v>0</v>
      </c>
      <c r="DC24" s="2">
        <v>0</v>
      </c>
      <c r="DD24" s="2">
        <v>0</v>
      </c>
      <c r="DE24" s="2">
        <f t="shared" si="3"/>
        <v>705</v>
      </c>
      <c r="DF24" s="2">
        <v>0</v>
      </c>
    </row>
    <row r="25" spans="1:110" ht="51" x14ac:dyDescent="0.2">
      <c r="A25" s="2" t="s">
        <v>0</v>
      </c>
      <c r="B25" s="2" t="s">
        <v>7</v>
      </c>
      <c r="C25" s="2" t="s">
        <v>235</v>
      </c>
      <c r="D25" s="2" t="s">
        <v>58</v>
      </c>
      <c r="E25" s="2" t="str">
        <f t="shared" si="1"/>
        <v>Schnittholz Bretter Laubholz sägerau, kammergetrocknet (u=20%) - CH</v>
      </c>
      <c r="F25" s="2" t="s">
        <v>88</v>
      </c>
      <c r="G25" s="2">
        <f>HLOOKUP($H25,'LCIA Daten manuell'!$A$1:$CU$3,3,FALSE)/1000</f>
        <v>0.70499999999999996</v>
      </c>
      <c r="H25" s="2" t="str">
        <f t="shared" si="0"/>
        <v>sawnwood, board, hardwood, raw, kiln dried (u=20%), at sawmill - CH</v>
      </c>
      <c r="I25" s="36">
        <f>(1.29+0.228)*J25</f>
        <v>1.5787200000000001</v>
      </c>
      <c r="J25" s="36">
        <f>1.04*K25</f>
        <v>1.04</v>
      </c>
      <c r="K25" s="36">
        <v>1</v>
      </c>
      <c r="L25" s="2">
        <f>-1.29*HLOOKUP("m3 Stufe1/m3 Produkt",$I$2:$K$103,ROW()-1,FALSE)</f>
        <v>-1.3416000000000001</v>
      </c>
      <c r="M25" s="2">
        <f>-0.228*HLOOKUP("m3 Stufe1/m3 Produkt",$I$2:$K$103,ROW()-1,FALSE)</f>
        <v>-0.23712000000000003</v>
      </c>
      <c r="N25" s="2">
        <v>0</v>
      </c>
      <c r="O25" s="2">
        <v>0</v>
      </c>
      <c r="P25" s="2">
        <v>0</v>
      </c>
      <c r="Q25" s="2">
        <f>-68.19*HLOOKUP("m3 Stufe1/m3 Produkt",$I$2:$K$103,ROW()-1,FALSE)</f>
        <v>-70.917599999999993</v>
      </c>
      <c r="R25" s="2">
        <v>0</v>
      </c>
      <c r="S25" s="2">
        <v>0</v>
      </c>
      <c r="T25" s="2">
        <v>0</v>
      </c>
      <c r="U25" s="2">
        <v>0</v>
      </c>
      <c r="V25" s="2">
        <v>0</v>
      </c>
      <c r="W25" s="2">
        <v>0</v>
      </c>
      <c r="X25" s="2">
        <v>0</v>
      </c>
      <c r="Y25" s="2">
        <v>0</v>
      </c>
      <c r="Z25" s="2">
        <v>0</v>
      </c>
      <c r="AA25" s="2">
        <v>0</v>
      </c>
      <c r="AB25" s="2">
        <v>0</v>
      </c>
      <c r="AC25" s="2">
        <v>0</v>
      </c>
      <c r="AD25" s="2">
        <v>0</v>
      </c>
      <c r="AE25" s="2">
        <v>0</v>
      </c>
      <c r="AF25" s="2">
        <v>0</v>
      </c>
      <c r="AG25" s="2">
        <v>0</v>
      </c>
      <c r="AH25" s="2">
        <v>0</v>
      </c>
      <c r="AI25" s="2">
        <v>0</v>
      </c>
      <c r="AJ25" s="2">
        <v>0</v>
      </c>
      <c r="AK25" s="2">
        <v>0</v>
      </c>
      <c r="AL25" s="2">
        <v>0</v>
      </c>
      <c r="AM25" s="2">
        <v>0</v>
      </c>
      <c r="AN25" s="37">
        <v>0</v>
      </c>
      <c r="AO25" s="2">
        <v>0</v>
      </c>
      <c r="AP25" s="2">
        <v>0</v>
      </c>
      <c r="AQ25" s="2">
        <v>0</v>
      </c>
      <c r="AR25" s="2">
        <v>0</v>
      </c>
      <c r="AS25" s="2">
        <v>0</v>
      </c>
      <c r="AT25" s="2">
        <v>0</v>
      </c>
      <c r="AU25" s="2">
        <v>0</v>
      </c>
      <c r="AV25" s="2">
        <v>0</v>
      </c>
      <c r="AW25" s="2">
        <v>0</v>
      </c>
      <c r="AX25" s="2">
        <v>0</v>
      </c>
      <c r="AY25" s="2">
        <v>0</v>
      </c>
      <c r="AZ25" s="2">
        <v>0</v>
      </c>
      <c r="BA25" s="2">
        <v>0</v>
      </c>
      <c r="BB25" s="2">
        <v>0</v>
      </c>
      <c r="BC25" s="2">
        <v>0</v>
      </c>
      <c r="BD25" s="2">
        <v>0</v>
      </c>
      <c r="BE25" s="2">
        <v>0</v>
      </c>
      <c r="BF25" s="2">
        <v>0</v>
      </c>
      <c r="BG25" s="2">
        <v>0</v>
      </c>
      <c r="BH25" s="2">
        <v>0</v>
      </c>
      <c r="BI25" s="2">
        <v>0</v>
      </c>
      <c r="BJ25" s="2">
        <v>1</v>
      </c>
      <c r="BK25" s="2">
        <v>0</v>
      </c>
      <c r="BL25" s="2">
        <v>0</v>
      </c>
      <c r="BM25" s="2">
        <v>0</v>
      </c>
      <c r="BN25" s="2">
        <v>0</v>
      </c>
      <c r="BO25" s="2">
        <v>0</v>
      </c>
      <c r="BP25" s="2">
        <v>0</v>
      </c>
      <c r="BQ25" s="2">
        <v>0</v>
      </c>
      <c r="BR25" s="2">
        <v>0</v>
      </c>
      <c r="BS25" s="2">
        <v>0</v>
      </c>
      <c r="BT25" s="2">
        <v>0</v>
      </c>
      <c r="BU25" s="2">
        <v>0</v>
      </c>
      <c r="BV25" s="2">
        <v>0</v>
      </c>
      <c r="BW25" s="2">
        <v>0</v>
      </c>
      <c r="BX25" s="2">
        <v>0</v>
      </c>
      <c r="BY25" s="2">
        <v>0</v>
      </c>
      <c r="BZ25" s="2">
        <v>0</v>
      </c>
      <c r="CA25" s="2">
        <v>0</v>
      </c>
      <c r="CB25" s="2">
        <v>0</v>
      </c>
      <c r="CC25" s="2">
        <v>0</v>
      </c>
      <c r="CD25" s="2">
        <v>0</v>
      </c>
      <c r="CE25" s="2">
        <v>0</v>
      </c>
      <c r="CF25" s="2">
        <v>0</v>
      </c>
      <c r="CG25" s="2">
        <v>0</v>
      </c>
      <c r="CH25" s="2">
        <v>0</v>
      </c>
      <c r="CI25" s="2">
        <v>0</v>
      </c>
      <c r="CJ25" s="2">
        <v>0</v>
      </c>
      <c r="CK25" s="2">
        <v>0</v>
      </c>
      <c r="CL25" s="2">
        <v>0</v>
      </c>
      <c r="CM25" s="2">
        <v>0</v>
      </c>
      <c r="CN25" s="2">
        <v>0</v>
      </c>
      <c r="CO25" s="2">
        <v>0</v>
      </c>
      <c r="CP25" s="2">
        <v>0</v>
      </c>
      <c r="CQ25" s="2">
        <v>0</v>
      </c>
      <c r="CR25" s="2">
        <v>0</v>
      </c>
      <c r="CS25" s="2">
        <v>0</v>
      </c>
      <c r="CT25" s="2">
        <v>0</v>
      </c>
      <c r="CU25" s="2">
        <v>0</v>
      </c>
      <c r="CV25" s="2">
        <v>0</v>
      </c>
      <c r="CW25" s="2">
        <v>0</v>
      </c>
      <c r="CX25" s="2">
        <v>0</v>
      </c>
      <c r="CY25" s="2">
        <v>0</v>
      </c>
      <c r="CZ25" s="2">
        <v>0</v>
      </c>
      <c r="DA25" s="2">
        <v>0</v>
      </c>
      <c r="DB25" s="2">
        <v>0</v>
      </c>
      <c r="DC25" s="2">
        <v>0</v>
      </c>
      <c r="DD25" s="2">
        <v>0</v>
      </c>
      <c r="DE25" s="2">
        <f t="shared" si="3"/>
        <v>705</v>
      </c>
      <c r="DF25" s="2">
        <v>0</v>
      </c>
    </row>
    <row r="26" spans="1:110" ht="51" x14ac:dyDescent="0.2">
      <c r="A26" s="2" t="s">
        <v>0</v>
      </c>
      <c r="B26" s="2" t="s">
        <v>7</v>
      </c>
      <c r="C26" s="2" t="s">
        <v>236</v>
      </c>
      <c r="D26" s="2" t="s">
        <v>58</v>
      </c>
      <c r="E26" s="2" t="str">
        <f t="shared" si="1"/>
        <v>Schnittholz Bretter Laubholz sägerau, kammergetrocknet (u=10%) - CH</v>
      </c>
      <c r="F26" s="2" t="s">
        <v>88</v>
      </c>
      <c r="G26" s="2">
        <f>HLOOKUP($H26,'LCIA Daten manuell'!$A$1:$CU$3,3,FALSE)/1000</f>
        <v>0.67500000000000004</v>
      </c>
      <c r="H26" s="2" t="str">
        <f t="shared" si="0"/>
        <v>sawnwood, board, hardwood, raw, kiln dried (u=10%), at sawmill - CH</v>
      </c>
      <c r="I26" s="36">
        <f>(1.29+0.228)*J26</f>
        <v>1.6546200000000002</v>
      </c>
      <c r="J26" s="36">
        <f>1.09*K26</f>
        <v>1.0900000000000001</v>
      </c>
      <c r="K26" s="36">
        <v>1</v>
      </c>
      <c r="L26" s="2">
        <f>-1.29*HLOOKUP("m3 Stufe1/m3 Produkt",$I$2:$K$103,ROW()-1,FALSE)</f>
        <v>-1.4061000000000001</v>
      </c>
      <c r="M26" s="2">
        <f>-0.228*HLOOKUP("m3 Stufe1/m3 Produkt",$I$2:$K$103,ROW()-1,FALSE)</f>
        <v>-0.24852000000000002</v>
      </c>
      <c r="N26" s="2">
        <v>0</v>
      </c>
      <c r="O26" s="2">
        <v>0</v>
      </c>
      <c r="P26" s="2">
        <v>0</v>
      </c>
      <c r="Q26" s="2">
        <f>-68.19*HLOOKUP("m3 Stufe1/m3 Produkt",$I$2:$K$103,ROW()-1,FALSE)</f>
        <v>-74.327100000000002</v>
      </c>
      <c r="R26" s="2">
        <v>0</v>
      </c>
      <c r="S26" s="2">
        <v>0</v>
      </c>
      <c r="T26" s="2">
        <v>0</v>
      </c>
      <c r="U26" s="2">
        <v>0</v>
      </c>
      <c r="V26" s="2">
        <v>0</v>
      </c>
      <c r="W26" s="2">
        <v>0</v>
      </c>
      <c r="X26" s="2">
        <v>0</v>
      </c>
      <c r="Y26" s="2">
        <v>0</v>
      </c>
      <c r="Z26" s="2">
        <v>0</v>
      </c>
      <c r="AA26" s="2">
        <v>0</v>
      </c>
      <c r="AB26" s="2">
        <v>0</v>
      </c>
      <c r="AC26" s="2">
        <v>0</v>
      </c>
      <c r="AD26" s="2">
        <v>0</v>
      </c>
      <c r="AE26" s="2">
        <v>0</v>
      </c>
      <c r="AF26" s="2">
        <v>0</v>
      </c>
      <c r="AG26" s="2">
        <v>0</v>
      </c>
      <c r="AH26" s="2">
        <v>0</v>
      </c>
      <c r="AI26" s="2">
        <v>0</v>
      </c>
      <c r="AJ26" s="2">
        <v>0</v>
      </c>
      <c r="AK26" s="2">
        <v>0</v>
      </c>
      <c r="AL26" s="2">
        <v>0</v>
      </c>
      <c r="AM26" s="2">
        <v>0</v>
      </c>
      <c r="AN26" s="37">
        <v>0</v>
      </c>
      <c r="AO26" s="2">
        <v>0</v>
      </c>
      <c r="AP26" s="2">
        <v>0</v>
      </c>
      <c r="AQ26" s="2">
        <v>0</v>
      </c>
      <c r="AR26" s="2">
        <v>0</v>
      </c>
      <c r="AS26" s="2">
        <v>0</v>
      </c>
      <c r="AT26" s="2">
        <v>0</v>
      </c>
      <c r="AU26" s="2">
        <v>0</v>
      </c>
      <c r="AV26" s="2">
        <v>0</v>
      </c>
      <c r="AW26" s="2">
        <v>0</v>
      </c>
      <c r="AX26" s="2">
        <v>0</v>
      </c>
      <c r="AY26" s="2">
        <v>0</v>
      </c>
      <c r="AZ26" s="2">
        <v>0</v>
      </c>
      <c r="BA26" s="2">
        <v>0</v>
      </c>
      <c r="BB26" s="2">
        <v>0</v>
      </c>
      <c r="BC26" s="2">
        <v>0</v>
      </c>
      <c r="BD26" s="2">
        <v>0</v>
      </c>
      <c r="BE26" s="2">
        <v>1</v>
      </c>
      <c r="BF26" s="2">
        <v>0</v>
      </c>
      <c r="BG26" s="2">
        <v>0</v>
      </c>
      <c r="BH26" s="2">
        <v>0</v>
      </c>
      <c r="BI26" s="2">
        <v>0</v>
      </c>
      <c r="BJ26" s="2">
        <v>0</v>
      </c>
      <c r="BK26" s="2">
        <v>0</v>
      </c>
      <c r="BL26" s="2">
        <v>0</v>
      </c>
      <c r="BM26" s="2">
        <v>0</v>
      </c>
      <c r="BN26" s="2">
        <v>0</v>
      </c>
      <c r="BO26" s="2">
        <v>0</v>
      </c>
      <c r="BP26" s="2">
        <v>0</v>
      </c>
      <c r="BQ26" s="2">
        <v>0</v>
      </c>
      <c r="BR26" s="2">
        <v>0</v>
      </c>
      <c r="BS26" s="2">
        <v>0</v>
      </c>
      <c r="BT26" s="2">
        <v>0</v>
      </c>
      <c r="BU26" s="2">
        <v>0</v>
      </c>
      <c r="BV26" s="2">
        <v>0</v>
      </c>
      <c r="BW26" s="2">
        <v>0</v>
      </c>
      <c r="BX26" s="2">
        <v>0</v>
      </c>
      <c r="BY26" s="2">
        <v>0</v>
      </c>
      <c r="BZ26" s="2">
        <v>0</v>
      </c>
      <c r="CA26" s="2">
        <v>0</v>
      </c>
      <c r="CB26" s="2">
        <v>0</v>
      </c>
      <c r="CC26" s="2">
        <v>0</v>
      </c>
      <c r="CD26" s="2">
        <v>0</v>
      </c>
      <c r="CE26" s="2">
        <v>0</v>
      </c>
      <c r="CF26" s="2">
        <v>0</v>
      </c>
      <c r="CG26" s="2">
        <v>0</v>
      </c>
      <c r="CH26" s="2">
        <v>0</v>
      </c>
      <c r="CI26" s="2">
        <v>0</v>
      </c>
      <c r="CJ26" s="2">
        <v>0</v>
      </c>
      <c r="CK26" s="2">
        <v>0</v>
      </c>
      <c r="CL26" s="2">
        <v>0</v>
      </c>
      <c r="CM26" s="2">
        <v>0</v>
      </c>
      <c r="CN26" s="2">
        <v>0</v>
      </c>
      <c r="CO26" s="2">
        <v>0</v>
      </c>
      <c r="CP26" s="2">
        <v>0</v>
      </c>
      <c r="CQ26" s="2">
        <v>0</v>
      </c>
      <c r="CR26" s="2">
        <v>0</v>
      </c>
      <c r="CS26" s="2">
        <v>0</v>
      </c>
      <c r="CT26" s="2">
        <v>0</v>
      </c>
      <c r="CU26" s="2">
        <v>0</v>
      </c>
      <c r="CV26" s="2">
        <v>0</v>
      </c>
      <c r="CW26" s="2">
        <v>0</v>
      </c>
      <c r="CX26" s="2">
        <v>0</v>
      </c>
      <c r="CY26" s="2">
        <v>0</v>
      </c>
      <c r="CZ26" s="2">
        <v>0</v>
      </c>
      <c r="DA26" s="2">
        <v>0</v>
      </c>
      <c r="DB26" s="2">
        <v>0</v>
      </c>
      <c r="DC26" s="2">
        <v>0</v>
      </c>
      <c r="DD26" s="2">
        <v>0</v>
      </c>
      <c r="DE26" s="2">
        <f t="shared" si="3"/>
        <v>675</v>
      </c>
      <c r="DF26" s="2">
        <v>0</v>
      </c>
    </row>
    <row r="27" spans="1:110" ht="51" x14ac:dyDescent="0.2">
      <c r="A27" s="2" t="s">
        <v>0</v>
      </c>
      <c r="B27" s="2" t="s">
        <v>7</v>
      </c>
      <c r="C27" s="2" t="s">
        <v>237</v>
      </c>
      <c r="D27" s="2" t="s">
        <v>58</v>
      </c>
      <c r="E27" s="2" t="str">
        <f t="shared" si="1"/>
        <v>Schnittholz Bretter Laubholz gehobelt, kammergetrocknet, (u=10%) - CH</v>
      </c>
      <c r="F27" s="2" t="s">
        <v>88</v>
      </c>
      <c r="G27" s="2">
        <f>HLOOKUP($H27,'LCIA Daten manuell'!$A$1:$CU$3,3,FALSE)/1000</f>
        <v>0.67500000000000004</v>
      </c>
      <c r="H27" s="2" t="str">
        <f t="shared" si="0"/>
        <v>sawnwood, board, hardwood, dried (u=10%), planed, at sawmill - CH</v>
      </c>
      <c r="I27" s="36">
        <f>(1.29+0.228)*J27</f>
        <v>1.7869896000000003</v>
      </c>
      <c r="J27" s="36">
        <f>1.09*K27</f>
        <v>1.1772000000000002</v>
      </c>
      <c r="K27" s="36">
        <v>1.08</v>
      </c>
      <c r="L27" s="2">
        <f>-1.29*HLOOKUP("m3 Stufe1/m3 Produkt",$I$2:$K$103,ROW()-1,FALSE)</f>
        <v>-1.5185880000000003</v>
      </c>
      <c r="M27" s="2">
        <f>-0.228*HLOOKUP("m3 Stufe1/m3 Produkt",$I$2:$K$103,ROW()-1,FALSE)</f>
        <v>-0.26840160000000007</v>
      </c>
      <c r="N27" s="2">
        <v>0</v>
      </c>
      <c r="O27" s="2">
        <v>0</v>
      </c>
      <c r="P27" s="2">
        <v>0</v>
      </c>
      <c r="Q27" s="2">
        <f>-68.19*HLOOKUP("m3 Stufe1/m3 Produkt",$I$2:$K$103,ROW()-1,FALSE)</f>
        <v>-80.273268000000016</v>
      </c>
      <c r="R27" s="2">
        <v>0</v>
      </c>
      <c r="S27" s="2">
        <v>0</v>
      </c>
      <c r="T27" s="2">
        <v>0</v>
      </c>
      <c r="U27" s="2">
        <v>0</v>
      </c>
      <c r="V27" s="2">
        <v>0</v>
      </c>
      <c r="W27" s="2">
        <v>0</v>
      </c>
      <c r="X27" s="2">
        <v>0</v>
      </c>
      <c r="Y27" s="2">
        <v>0</v>
      </c>
      <c r="Z27" s="2">
        <v>0</v>
      </c>
      <c r="AA27" s="2">
        <v>0</v>
      </c>
      <c r="AB27" s="2">
        <v>0</v>
      </c>
      <c r="AC27" s="2">
        <v>0</v>
      </c>
      <c r="AD27" s="2">
        <v>0</v>
      </c>
      <c r="AE27" s="2">
        <v>0</v>
      </c>
      <c r="AF27" s="2">
        <v>0</v>
      </c>
      <c r="AG27" s="2">
        <v>0</v>
      </c>
      <c r="AH27" s="2">
        <v>0</v>
      </c>
      <c r="AI27" s="2">
        <v>0</v>
      </c>
      <c r="AJ27" s="2">
        <v>0</v>
      </c>
      <c r="AK27" s="2">
        <v>0</v>
      </c>
      <c r="AL27" s="2">
        <v>0</v>
      </c>
      <c r="AM27" s="2">
        <v>0</v>
      </c>
      <c r="AN27" s="37">
        <v>0</v>
      </c>
      <c r="AO27" s="2">
        <v>0</v>
      </c>
      <c r="AP27" s="2">
        <v>0</v>
      </c>
      <c r="AQ27" s="2">
        <v>0</v>
      </c>
      <c r="AR27" s="2">
        <v>0</v>
      </c>
      <c r="AS27" s="2">
        <v>0</v>
      </c>
      <c r="AT27" s="2">
        <v>0</v>
      </c>
      <c r="AU27" s="2">
        <v>0</v>
      </c>
      <c r="AV27" s="2">
        <v>0</v>
      </c>
      <c r="AW27" s="2">
        <v>0</v>
      </c>
      <c r="AX27" s="2">
        <v>0</v>
      </c>
      <c r="AY27" s="2">
        <v>0</v>
      </c>
      <c r="AZ27" s="2">
        <v>0</v>
      </c>
      <c r="BA27" s="2">
        <v>0</v>
      </c>
      <c r="BB27" s="2">
        <v>0</v>
      </c>
      <c r="BC27" s="2">
        <v>0</v>
      </c>
      <c r="BD27" s="2">
        <v>1</v>
      </c>
      <c r="BE27" s="2">
        <v>0</v>
      </c>
      <c r="BF27" s="2">
        <v>0</v>
      </c>
      <c r="BG27" s="2">
        <v>0</v>
      </c>
      <c r="BH27" s="2">
        <v>0</v>
      </c>
      <c r="BI27" s="2">
        <v>0</v>
      </c>
      <c r="BJ27" s="2">
        <v>0</v>
      </c>
      <c r="BK27" s="2">
        <v>0</v>
      </c>
      <c r="BL27" s="2">
        <v>0</v>
      </c>
      <c r="BM27" s="2">
        <v>0</v>
      </c>
      <c r="BN27" s="2">
        <v>0</v>
      </c>
      <c r="BO27" s="2">
        <v>0</v>
      </c>
      <c r="BP27" s="2">
        <v>0</v>
      </c>
      <c r="BQ27" s="2">
        <v>0</v>
      </c>
      <c r="BR27" s="2">
        <v>0</v>
      </c>
      <c r="BS27" s="2">
        <v>0</v>
      </c>
      <c r="BT27" s="2">
        <v>0</v>
      </c>
      <c r="BU27" s="2">
        <v>0</v>
      </c>
      <c r="BV27" s="2">
        <v>0</v>
      </c>
      <c r="BW27" s="2">
        <v>0</v>
      </c>
      <c r="BX27" s="2">
        <v>0</v>
      </c>
      <c r="BY27" s="2">
        <v>0</v>
      </c>
      <c r="BZ27" s="2">
        <v>0</v>
      </c>
      <c r="CA27" s="2">
        <v>0</v>
      </c>
      <c r="CB27" s="2">
        <v>0</v>
      </c>
      <c r="CC27" s="2">
        <v>0</v>
      </c>
      <c r="CD27" s="2">
        <v>0</v>
      </c>
      <c r="CE27" s="2">
        <v>0</v>
      </c>
      <c r="CF27" s="2">
        <v>0</v>
      </c>
      <c r="CG27" s="2">
        <v>0</v>
      </c>
      <c r="CH27" s="2">
        <v>0</v>
      </c>
      <c r="CI27" s="2">
        <v>0</v>
      </c>
      <c r="CJ27" s="2">
        <v>0</v>
      </c>
      <c r="CK27" s="2">
        <v>0</v>
      </c>
      <c r="CL27" s="2">
        <v>0</v>
      </c>
      <c r="CM27" s="2">
        <v>0</v>
      </c>
      <c r="CN27" s="2">
        <v>0</v>
      </c>
      <c r="CO27" s="2">
        <v>0</v>
      </c>
      <c r="CP27" s="2">
        <v>0</v>
      </c>
      <c r="CQ27" s="2">
        <v>0</v>
      </c>
      <c r="CR27" s="2">
        <v>0</v>
      </c>
      <c r="CS27" s="2">
        <v>0</v>
      </c>
      <c r="CT27" s="2">
        <v>0</v>
      </c>
      <c r="CU27" s="2">
        <v>0</v>
      </c>
      <c r="CV27" s="2">
        <v>0</v>
      </c>
      <c r="CW27" s="2">
        <v>0</v>
      </c>
      <c r="CX27" s="2">
        <v>0</v>
      </c>
      <c r="CY27" s="2">
        <v>0</v>
      </c>
      <c r="CZ27" s="2">
        <v>0</v>
      </c>
      <c r="DA27" s="2">
        <v>0</v>
      </c>
      <c r="DB27" s="2">
        <v>0</v>
      </c>
      <c r="DC27" s="2">
        <v>0</v>
      </c>
      <c r="DD27" s="2">
        <v>0</v>
      </c>
      <c r="DE27" s="2">
        <f t="shared" si="3"/>
        <v>675</v>
      </c>
      <c r="DF27" s="2">
        <v>0</v>
      </c>
    </row>
    <row r="28" spans="1:110" ht="34" x14ac:dyDescent="0.2">
      <c r="A28" s="2" t="s">
        <v>0</v>
      </c>
      <c r="B28" s="2" t="s">
        <v>7</v>
      </c>
      <c r="C28" s="2" t="s">
        <v>238</v>
      </c>
      <c r="D28" s="2" t="s">
        <v>58</v>
      </c>
      <c r="E28" s="2" t="str">
        <f t="shared" si="1"/>
        <v>Schnittholz Bretter Laubholz gehobelt, getrocknet, (u=20%) - CH</v>
      </c>
      <c r="F28" s="2" t="s">
        <v>88</v>
      </c>
      <c r="G28" s="2">
        <f>HLOOKUP($H28,'LCIA Daten manuell'!$A$1:$CU$3,3,FALSE)/1000</f>
        <v>0.70499999999999996</v>
      </c>
      <c r="H28" s="2" t="str">
        <f t="shared" si="0"/>
        <v>sawnwood, board, hardwood, dried (u=20%), planed, at sawmill - CH</v>
      </c>
      <c r="I28" s="36">
        <f>(1.29+0.228)*J28</f>
        <v>1.6971239999999999</v>
      </c>
      <c r="J28" s="36">
        <f>1.04*K28</f>
        <v>1.1179999999999999</v>
      </c>
      <c r="K28" s="36">
        <f>0.21+0.865</f>
        <v>1.075</v>
      </c>
      <c r="L28" s="2">
        <f>-1.29*HLOOKUP("m3 Stufe1/m3 Produkt",$I$2:$K$103,ROW()-1,FALSE)</f>
        <v>-1.4422199999999998</v>
      </c>
      <c r="M28" s="2">
        <f>-0.228*HLOOKUP("m3 Stufe1/m3 Produkt",$I$2:$K$103,ROW()-1,FALSE)</f>
        <v>-0.25490399999999996</v>
      </c>
      <c r="N28" s="2">
        <v>0</v>
      </c>
      <c r="O28" s="2">
        <v>0</v>
      </c>
      <c r="P28" s="2">
        <v>0</v>
      </c>
      <c r="Q28" s="2">
        <v>0</v>
      </c>
      <c r="R28" s="2">
        <v>0</v>
      </c>
      <c r="S28" s="2">
        <v>0</v>
      </c>
      <c r="T28" s="2">
        <v>0</v>
      </c>
      <c r="U28" s="2">
        <v>0</v>
      </c>
      <c r="V28" s="2">
        <v>0</v>
      </c>
      <c r="W28" s="2">
        <v>0</v>
      </c>
      <c r="X28" s="2">
        <v>0</v>
      </c>
      <c r="Y28" s="2">
        <v>0</v>
      </c>
      <c r="Z28" s="2">
        <v>0</v>
      </c>
      <c r="AA28" s="2">
        <v>0</v>
      </c>
      <c r="AB28" s="2">
        <v>0</v>
      </c>
      <c r="AC28" s="2">
        <v>0</v>
      </c>
      <c r="AD28" s="2">
        <v>0</v>
      </c>
      <c r="AE28" s="2">
        <v>0</v>
      </c>
      <c r="AF28" s="2">
        <v>0</v>
      </c>
      <c r="AG28" s="2">
        <v>0</v>
      </c>
      <c r="AH28" s="2">
        <v>0</v>
      </c>
      <c r="AI28" s="2">
        <v>0</v>
      </c>
      <c r="AJ28" s="2">
        <v>0</v>
      </c>
      <c r="AK28" s="2">
        <v>0</v>
      </c>
      <c r="AL28" s="2">
        <v>0</v>
      </c>
      <c r="AM28" s="2">
        <v>0</v>
      </c>
      <c r="AN28" s="37">
        <v>0</v>
      </c>
      <c r="AO28" s="2">
        <v>0</v>
      </c>
      <c r="AP28" s="2">
        <v>0</v>
      </c>
      <c r="AQ28" s="2">
        <v>0</v>
      </c>
      <c r="AR28" s="2">
        <v>0</v>
      </c>
      <c r="AS28" s="2">
        <v>0</v>
      </c>
      <c r="AT28" s="2">
        <v>0</v>
      </c>
      <c r="AU28" s="2">
        <v>0</v>
      </c>
      <c r="AV28" s="2">
        <v>0</v>
      </c>
      <c r="AW28" s="2">
        <v>0</v>
      </c>
      <c r="AX28" s="2">
        <v>0</v>
      </c>
      <c r="AY28" s="2">
        <v>0</v>
      </c>
      <c r="AZ28" s="2">
        <v>0</v>
      </c>
      <c r="BA28" s="2">
        <v>0</v>
      </c>
      <c r="BB28" s="2">
        <v>0</v>
      </c>
      <c r="BC28" s="2">
        <v>0</v>
      </c>
      <c r="BD28" s="2">
        <v>0</v>
      </c>
      <c r="BE28" s="2">
        <v>0</v>
      </c>
      <c r="BF28" s="2">
        <v>0</v>
      </c>
      <c r="BG28" s="2">
        <v>0</v>
      </c>
      <c r="BH28" s="2">
        <v>1</v>
      </c>
      <c r="BI28" s="2">
        <v>0</v>
      </c>
      <c r="BJ28" s="2">
        <v>0</v>
      </c>
      <c r="BK28" s="2">
        <v>0</v>
      </c>
      <c r="BL28" s="2">
        <v>0</v>
      </c>
      <c r="BM28" s="2">
        <v>0</v>
      </c>
      <c r="BN28" s="2">
        <v>0</v>
      </c>
      <c r="BO28" s="2">
        <v>0</v>
      </c>
      <c r="BP28" s="2">
        <v>0</v>
      </c>
      <c r="BQ28" s="2">
        <v>0</v>
      </c>
      <c r="BR28" s="2">
        <v>0</v>
      </c>
      <c r="BS28" s="2">
        <v>0</v>
      </c>
      <c r="BT28" s="2">
        <v>0</v>
      </c>
      <c r="BU28" s="2">
        <v>0</v>
      </c>
      <c r="BV28" s="2">
        <v>0</v>
      </c>
      <c r="BW28" s="2">
        <v>0</v>
      </c>
      <c r="BX28" s="2">
        <v>0</v>
      </c>
      <c r="BY28" s="2">
        <v>0</v>
      </c>
      <c r="BZ28" s="2">
        <v>0</v>
      </c>
      <c r="CA28" s="2">
        <v>0</v>
      </c>
      <c r="CB28" s="2">
        <v>0</v>
      </c>
      <c r="CC28" s="2">
        <v>0</v>
      </c>
      <c r="CD28" s="2">
        <v>0</v>
      </c>
      <c r="CE28" s="2">
        <v>0</v>
      </c>
      <c r="CF28" s="2">
        <v>0</v>
      </c>
      <c r="CG28" s="2">
        <v>0</v>
      </c>
      <c r="CH28" s="2">
        <v>0</v>
      </c>
      <c r="CI28" s="2">
        <v>0</v>
      </c>
      <c r="CJ28" s="2">
        <v>0</v>
      </c>
      <c r="CK28" s="2">
        <v>0</v>
      </c>
      <c r="CL28" s="2">
        <v>0</v>
      </c>
      <c r="CM28" s="2">
        <v>0</v>
      </c>
      <c r="CN28" s="2">
        <v>0</v>
      </c>
      <c r="CO28" s="2">
        <v>0</v>
      </c>
      <c r="CP28" s="2">
        <v>0</v>
      </c>
      <c r="CQ28" s="2">
        <v>0</v>
      </c>
      <c r="CR28" s="2">
        <v>0</v>
      </c>
      <c r="CS28" s="2">
        <v>0</v>
      </c>
      <c r="CT28" s="2">
        <v>0</v>
      </c>
      <c r="CU28" s="2">
        <v>0</v>
      </c>
      <c r="CV28" s="2">
        <v>0</v>
      </c>
      <c r="CW28" s="2">
        <v>0</v>
      </c>
      <c r="CX28" s="2">
        <v>0</v>
      </c>
      <c r="CY28" s="2">
        <v>0</v>
      </c>
      <c r="CZ28" s="2">
        <v>0</v>
      </c>
      <c r="DA28" s="2">
        <v>0</v>
      </c>
      <c r="DB28" s="2">
        <v>0</v>
      </c>
      <c r="DC28" s="2">
        <v>0</v>
      </c>
      <c r="DD28" s="2">
        <v>0</v>
      </c>
      <c r="DE28" s="2">
        <f t="shared" si="3"/>
        <v>705</v>
      </c>
      <c r="DF28" s="2">
        <v>0</v>
      </c>
    </row>
    <row r="29" spans="1:110" ht="51" x14ac:dyDescent="0.2">
      <c r="A29" s="2" t="s">
        <v>0</v>
      </c>
      <c r="B29" s="2" t="s">
        <v>7</v>
      </c>
      <c r="C29" s="2" t="s">
        <v>234</v>
      </c>
      <c r="D29" s="2" t="s">
        <v>59</v>
      </c>
      <c r="E29" s="2" t="str">
        <f t="shared" si="1"/>
        <v>Schnittholz Bretter Laubholz sägerau, luftgetrocknet (u=20%) - RER</v>
      </c>
      <c r="F29" s="2" t="s">
        <v>88</v>
      </c>
      <c r="G29" s="2">
        <f>HLOOKUP($H29,'LCIA Daten manuell'!$A$1:$CU$3,3,FALSE)/1000</f>
        <v>0.70499999999999996</v>
      </c>
      <c r="H29" s="2" t="str">
        <f t="shared" si="0"/>
        <v>sawnwood, board, hardwood, raw, air dried (u=20%), at sawmill - RER</v>
      </c>
      <c r="I29" s="36">
        <f>1.52*J29</f>
        <v>1.5808</v>
      </c>
      <c r="J29" s="36">
        <f>1.04*K29</f>
        <v>1.04</v>
      </c>
      <c r="K29" s="36">
        <v>1</v>
      </c>
      <c r="L29" s="2">
        <v>0</v>
      </c>
      <c r="M29" s="2">
        <f>-HLOOKUP("m3 Rundholz/m3 Produkt",$I$2:$K$103,ROW()-1,FALSE)</f>
        <v>-1.5808</v>
      </c>
      <c r="N29" s="2">
        <v>0</v>
      </c>
      <c r="O29" s="2">
        <v>0</v>
      </c>
      <c r="P29" s="2">
        <f>-68.19*HLOOKUP("m3 Stufe1/m3 Produkt",$I$2:$K$103,ROW()-1,FALSE)</f>
        <v>-70.917599999999993</v>
      </c>
      <c r="Q29" s="2">
        <v>0</v>
      </c>
      <c r="R29" s="2">
        <v>0</v>
      </c>
      <c r="S29" s="2">
        <v>0</v>
      </c>
      <c r="T29" s="2">
        <v>0</v>
      </c>
      <c r="U29" s="2">
        <v>0</v>
      </c>
      <c r="V29" s="2">
        <v>0</v>
      </c>
      <c r="W29" s="2">
        <v>0</v>
      </c>
      <c r="X29" s="2">
        <v>0</v>
      </c>
      <c r="Y29" s="2">
        <v>0</v>
      </c>
      <c r="Z29" s="2">
        <v>0</v>
      </c>
      <c r="AA29" s="2">
        <v>0</v>
      </c>
      <c r="AB29" s="2">
        <v>0</v>
      </c>
      <c r="AC29" s="2">
        <v>0</v>
      </c>
      <c r="AD29" s="2">
        <v>0</v>
      </c>
      <c r="AE29" s="2">
        <v>0</v>
      </c>
      <c r="AF29" s="2">
        <v>0</v>
      </c>
      <c r="AG29" s="2">
        <v>0</v>
      </c>
      <c r="AH29" s="2">
        <v>0</v>
      </c>
      <c r="AI29" s="2">
        <v>0</v>
      </c>
      <c r="AJ29" s="2">
        <v>0</v>
      </c>
      <c r="AK29" s="2">
        <v>0</v>
      </c>
      <c r="AL29" s="2">
        <v>0</v>
      </c>
      <c r="AM29" s="2">
        <v>0</v>
      </c>
      <c r="AN29" s="37">
        <v>0</v>
      </c>
      <c r="AO29" s="2">
        <v>0</v>
      </c>
      <c r="AP29" s="2">
        <v>0</v>
      </c>
      <c r="AQ29" s="2">
        <v>0</v>
      </c>
      <c r="AR29" s="2">
        <v>0</v>
      </c>
      <c r="AS29" s="2">
        <v>0</v>
      </c>
      <c r="AT29" s="2">
        <v>0</v>
      </c>
      <c r="AU29" s="2">
        <v>0</v>
      </c>
      <c r="AV29" s="2">
        <v>0</v>
      </c>
      <c r="AW29" s="2">
        <v>0</v>
      </c>
      <c r="AX29" s="2">
        <v>0</v>
      </c>
      <c r="AY29" s="2">
        <v>0</v>
      </c>
      <c r="AZ29" s="2">
        <v>0</v>
      </c>
      <c r="BA29" s="2">
        <v>0</v>
      </c>
      <c r="BB29" s="2">
        <v>0</v>
      </c>
      <c r="BC29" s="2">
        <v>0</v>
      </c>
      <c r="BD29" s="2">
        <v>0</v>
      </c>
      <c r="BE29" s="2">
        <v>0</v>
      </c>
      <c r="BF29" s="2">
        <v>1</v>
      </c>
      <c r="BG29" s="2">
        <v>0</v>
      </c>
      <c r="BH29" s="2">
        <v>0</v>
      </c>
      <c r="BI29" s="2">
        <v>0</v>
      </c>
      <c r="BJ29" s="2">
        <v>0</v>
      </c>
      <c r="BK29" s="2">
        <v>0</v>
      </c>
      <c r="BL29" s="2">
        <v>0</v>
      </c>
      <c r="BM29" s="2">
        <v>0</v>
      </c>
      <c r="BN29" s="2">
        <v>0</v>
      </c>
      <c r="BO29" s="2">
        <v>0</v>
      </c>
      <c r="BP29" s="2">
        <v>0</v>
      </c>
      <c r="BQ29" s="2">
        <v>0</v>
      </c>
      <c r="BR29" s="2">
        <v>0</v>
      </c>
      <c r="BS29" s="2">
        <v>0</v>
      </c>
      <c r="BT29" s="2">
        <v>0</v>
      </c>
      <c r="BU29" s="2">
        <v>0</v>
      </c>
      <c r="BV29" s="2">
        <v>0</v>
      </c>
      <c r="BW29" s="2">
        <v>0</v>
      </c>
      <c r="BX29" s="2">
        <v>0</v>
      </c>
      <c r="BY29" s="2">
        <v>0</v>
      </c>
      <c r="BZ29" s="2">
        <v>0</v>
      </c>
      <c r="CA29" s="2">
        <v>0</v>
      </c>
      <c r="CB29" s="2">
        <v>0</v>
      </c>
      <c r="CC29" s="2">
        <v>0</v>
      </c>
      <c r="CD29" s="2">
        <v>0</v>
      </c>
      <c r="CE29" s="2">
        <v>0</v>
      </c>
      <c r="CF29" s="2">
        <v>0</v>
      </c>
      <c r="CG29" s="2">
        <v>0</v>
      </c>
      <c r="CH29" s="2">
        <v>0</v>
      </c>
      <c r="CI29" s="2">
        <v>0</v>
      </c>
      <c r="CJ29" s="2">
        <v>0</v>
      </c>
      <c r="CK29" s="2">
        <v>0</v>
      </c>
      <c r="CL29" s="2">
        <v>0</v>
      </c>
      <c r="CM29" s="2">
        <v>0</v>
      </c>
      <c r="CN29" s="2">
        <v>0</v>
      </c>
      <c r="CO29" s="2">
        <v>0</v>
      </c>
      <c r="CP29" s="2">
        <v>0</v>
      </c>
      <c r="CQ29" s="2">
        <v>0</v>
      </c>
      <c r="CR29" s="2">
        <v>0</v>
      </c>
      <c r="CS29" s="2">
        <v>0</v>
      </c>
      <c r="CT29" s="2">
        <v>0</v>
      </c>
      <c r="CU29" s="2">
        <v>0</v>
      </c>
      <c r="CV29" s="2">
        <v>0</v>
      </c>
      <c r="CW29" s="2">
        <v>0</v>
      </c>
      <c r="CX29" s="2">
        <v>0</v>
      </c>
      <c r="CY29" s="2">
        <v>0</v>
      </c>
      <c r="CZ29" s="2">
        <v>0</v>
      </c>
      <c r="DA29" s="2">
        <v>0</v>
      </c>
      <c r="DB29" s="2">
        <v>0</v>
      </c>
      <c r="DC29" s="2">
        <v>0</v>
      </c>
      <c r="DD29" s="2">
        <v>0</v>
      </c>
      <c r="DE29" s="2">
        <f t="shared" si="3"/>
        <v>705</v>
      </c>
      <c r="DF29" s="2">
        <v>0</v>
      </c>
    </row>
    <row r="30" spans="1:110" ht="51" x14ac:dyDescent="0.2">
      <c r="A30" s="2" t="s">
        <v>0</v>
      </c>
      <c r="B30" s="2" t="s">
        <v>7</v>
      </c>
      <c r="C30" s="2" t="s">
        <v>235</v>
      </c>
      <c r="D30" s="2" t="s">
        <v>59</v>
      </c>
      <c r="E30" s="2" t="str">
        <f t="shared" si="1"/>
        <v>Schnittholz Bretter Laubholz sägerau, kammergetrocknet (u=20%) - RER</v>
      </c>
      <c r="F30" s="2" t="s">
        <v>88</v>
      </c>
      <c r="G30" s="2">
        <f>HLOOKUP($H30,'LCIA Daten manuell'!$A$1:$CU$3,3,FALSE)/1000</f>
        <v>0.70499999999999996</v>
      </c>
      <c r="H30" s="2" t="str">
        <f t="shared" si="0"/>
        <v>sawnwood, board, hardwood, raw, kiln dried (u=20%), at sawmill - RER</v>
      </c>
      <c r="I30" s="36">
        <f>1.52*J30</f>
        <v>1.5808</v>
      </c>
      <c r="J30" s="36">
        <f>1.04*K30</f>
        <v>1.04</v>
      </c>
      <c r="K30" s="36">
        <v>1</v>
      </c>
      <c r="L30" s="2">
        <v>0</v>
      </c>
      <c r="M30" s="2">
        <f>-HLOOKUP("m3 Rundholz/m3 Produkt",$I$2:$K$103,ROW()-1,FALSE)</f>
        <v>-1.5808</v>
      </c>
      <c r="N30" s="2">
        <v>0</v>
      </c>
      <c r="O30" s="2">
        <v>0</v>
      </c>
      <c r="P30" s="2">
        <f>-68.19*HLOOKUP("m3 Stufe1/m3 Produkt",$I$2:$K$103,ROW()-1,FALSE)</f>
        <v>-70.917599999999993</v>
      </c>
      <c r="Q30" s="2">
        <v>0</v>
      </c>
      <c r="R30" s="2">
        <v>0</v>
      </c>
      <c r="S30" s="2">
        <v>0</v>
      </c>
      <c r="T30" s="2">
        <v>0</v>
      </c>
      <c r="U30" s="2">
        <v>0</v>
      </c>
      <c r="V30" s="2">
        <v>0</v>
      </c>
      <c r="W30" s="2">
        <v>0</v>
      </c>
      <c r="X30" s="2">
        <v>0</v>
      </c>
      <c r="Y30" s="2">
        <v>0</v>
      </c>
      <c r="Z30" s="2">
        <v>0</v>
      </c>
      <c r="AA30" s="2">
        <v>0</v>
      </c>
      <c r="AB30" s="2">
        <v>0</v>
      </c>
      <c r="AC30" s="2">
        <v>0</v>
      </c>
      <c r="AD30" s="2">
        <v>0</v>
      </c>
      <c r="AE30" s="2">
        <v>0</v>
      </c>
      <c r="AF30" s="2">
        <v>0</v>
      </c>
      <c r="AG30" s="2">
        <v>0</v>
      </c>
      <c r="AH30" s="2">
        <v>0</v>
      </c>
      <c r="AI30" s="2">
        <v>0</v>
      </c>
      <c r="AJ30" s="2">
        <v>0</v>
      </c>
      <c r="AK30" s="2">
        <v>0</v>
      </c>
      <c r="AL30" s="2">
        <v>0</v>
      </c>
      <c r="AM30" s="2">
        <v>0</v>
      </c>
      <c r="AN30" s="37">
        <v>0</v>
      </c>
      <c r="AO30" s="2">
        <v>0</v>
      </c>
      <c r="AP30" s="2">
        <v>0</v>
      </c>
      <c r="AQ30" s="2">
        <v>0</v>
      </c>
      <c r="AR30" s="2">
        <v>0</v>
      </c>
      <c r="AS30" s="2">
        <v>0</v>
      </c>
      <c r="AT30" s="2">
        <v>0</v>
      </c>
      <c r="AU30" s="2">
        <v>0</v>
      </c>
      <c r="AV30" s="2">
        <v>0</v>
      </c>
      <c r="AW30" s="2">
        <v>0</v>
      </c>
      <c r="AX30" s="2">
        <v>0</v>
      </c>
      <c r="AY30" s="2">
        <v>0</v>
      </c>
      <c r="AZ30" s="2">
        <v>0</v>
      </c>
      <c r="BA30" s="2">
        <v>0</v>
      </c>
      <c r="BB30" s="2">
        <v>0</v>
      </c>
      <c r="BC30" s="2">
        <v>0</v>
      </c>
      <c r="BD30" s="2">
        <v>0</v>
      </c>
      <c r="BE30" s="2">
        <v>0</v>
      </c>
      <c r="BF30" s="2">
        <v>0</v>
      </c>
      <c r="BG30" s="2">
        <v>0</v>
      </c>
      <c r="BH30" s="2">
        <v>0</v>
      </c>
      <c r="BI30" s="2">
        <v>0</v>
      </c>
      <c r="BL30" s="2">
        <v>0</v>
      </c>
      <c r="BM30" s="2">
        <v>0</v>
      </c>
      <c r="BN30" s="2">
        <v>0</v>
      </c>
      <c r="BO30" s="2">
        <v>0</v>
      </c>
      <c r="BP30" s="2">
        <v>0</v>
      </c>
      <c r="BQ30" s="2">
        <v>0</v>
      </c>
      <c r="BR30" s="2">
        <v>0</v>
      </c>
      <c r="BS30" s="2">
        <v>0</v>
      </c>
      <c r="BT30" s="2">
        <v>0</v>
      </c>
      <c r="BU30" s="2">
        <v>0</v>
      </c>
      <c r="BV30" s="2">
        <v>0</v>
      </c>
      <c r="BW30" s="2">
        <v>0</v>
      </c>
      <c r="BX30" s="2">
        <v>0</v>
      </c>
      <c r="BY30" s="2">
        <v>0</v>
      </c>
      <c r="BZ30" s="2">
        <v>0</v>
      </c>
      <c r="CA30" s="2">
        <v>1</v>
      </c>
      <c r="CB30" s="2">
        <v>0</v>
      </c>
      <c r="CC30" s="2">
        <v>0</v>
      </c>
      <c r="CD30" s="2">
        <v>0</v>
      </c>
      <c r="CE30" s="2">
        <v>0</v>
      </c>
      <c r="CF30" s="2">
        <v>0</v>
      </c>
      <c r="CG30" s="2">
        <v>0</v>
      </c>
      <c r="CH30" s="2">
        <v>0</v>
      </c>
      <c r="CI30" s="2">
        <v>0</v>
      </c>
      <c r="CJ30" s="2">
        <v>0</v>
      </c>
      <c r="CK30" s="2">
        <v>0</v>
      </c>
      <c r="CL30" s="2">
        <v>0</v>
      </c>
      <c r="CM30" s="2">
        <v>0</v>
      </c>
      <c r="CN30" s="2">
        <v>0</v>
      </c>
      <c r="CO30" s="2">
        <v>0</v>
      </c>
      <c r="CP30" s="2">
        <v>0</v>
      </c>
      <c r="CQ30" s="2">
        <v>0</v>
      </c>
      <c r="CR30" s="2">
        <v>0</v>
      </c>
      <c r="CS30" s="2">
        <v>0</v>
      </c>
      <c r="CT30" s="2">
        <v>0</v>
      </c>
      <c r="CU30" s="2">
        <v>0</v>
      </c>
      <c r="CV30" s="2">
        <v>0</v>
      </c>
      <c r="CW30" s="2">
        <v>0</v>
      </c>
      <c r="CX30" s="2">
        <v>0</v>
      </c>
      <c r="CY30" s="2">
        <v>0</v>
      </c>
      <c r="CZ30" s="2">
        <v>0</v>
      </c>
      <c r="DA30" s="2">
        <v>0</v>
      </c>
      <c r="DB30" s="2">
        <v>0</v>
      </c>
      <c r="DC30" s="2">
        <v>0</v>
      </c>
      <c r="DD30" s="2">
        <v>0</v>
      </c>
      <c r="DE30" s="2">
        <f t="shared" si="3"/>
        <v>705</v>
      </c>
      <c r="DF30" s="2">
        <v>0</v>
      </c>
    </row>
    <row r="31" spans="1:110" ht="62" customHeight="1" x14ac:dyDescent="0.2">
      <c r="A31" s="2" t="s">
        <v>0</v>
      </c>
      <c r="B31" s="2" t="s">
        <v>7</v>
      </c>
      <c r="C31" s="2" t="s">
        <v>236</v>
      </c>
      <c r="D31" s="2" t="s">
        <v>59</v>
      </c>
      <c r="E31" s="2" t="str">
        <f t="shared" si="1"/>
        <v>Schnittholz Bretter Laubholz sägerau, kammergetrocknet (u=10%) - RER</v>
      </c>
      <c r="F31" s="2" t="s">
        <v>88</v>
      </c>
      <c r="G31" s="2">
        <f>HLOOKUP($H31,'LCIA Daten manuell'!$A$1:$CU$3,3,FALSE)/1000</f>
        <v>0.67500000000000004</v>
      </c>
      <c r="H31" s="2" t="str">
        <f t="shared" si="0"/>
        <v>sawnwood, board, hardwood, raw, kiln dried (u=10%), at sawmill - RER</v>
      </c>
      <c r="I31" s="36">
        <f>1.52*J31</f>
        <v>1.6568000000000001</v>
      </c>
      <c r="J31" s="36">
        <f>1.09*K31</f>
        <v>1.0900000000000001</v>
      </c>
      <c r="K31" s="36">
        <v>1</v>
      </c>
      <c r="L31" s="2">
        <v>0</v>
      </c>
      <c r="M31" s="2">
        <f>-HLOOKUP("m3 Rundholz/m3 Produkt",$I$2:$K$103,ROW()-1,FALSE)</f>
        <v>-1.6568000000000001</v>
      </c>
      <c r="N31" s="2">
        <v>0</v>
      </c>
      <c r="O31" s="2">
        <v>0</v>
      </c>
      <c r="P31" s="2">
        <f>-68.19*HLOOKUP("m3 Stufe1/m3 Produkt",$I$2:$K$103,ROW()-1,FALSE)</f>
        <v>-74.327100000000002</v>
      </c>
      <c r="Q31" s="2">
        <v>0</v>
      </c>
      <c r="R31" s="2">
        <v>0</v>
      </c>
      <c r="S31" s="2">
        <v>0</v>
      </c>
      <c r="T31" s="2">
        <v>0</v>
      </c>
      <c r="U31" s="2">
        <v>0</v>
      </c>
      <c r="V31" s="2">
        <v>0</v>
      </c>
      <c r="W31" s="2">
        <v>0</v>
      </c>
      <c r="X31" s="2">
        <v>0</v>
      </c>
      <c r="Y31" s="2">
        <v>0</v>
      </c>
      <c r="Z31" s="2">
        <v>0</v>
      </c>
      <c r="AA31" s="2">
        <v>0</v>
      </c>
      <c r="AB31" s="2">
        <v>0</v>
      </c>
      <c r="AC31" s="2">
        <v>0</v>
      </c>
      <c r="AD31" s="2">
        <v>0</v>
      </c>
      <c r="AE31" s="2">
        <v>0</v>
      </c>
      <c r="AF31" s="2">
        <v>0</v>
      </c>
      <c r="AG31" s="2">
        <v>0</v>
      </c>
      <c r="AH31" s="2">
        <v>0</v>
      </c>
      <c r="AI31" s="2">
        <v>0</v>
      </c>
      <c r="AJ31" s="2">
        <v>0</v>
      </c>
      <c r="AK31" s="2">
        <v>0</v>
      </c>
      <c r="AL31" s="2">
        <v>0</v>
      </c>
      <c r="AM31" s="2">
        <v>0</v>
      </c>
      <c r="AN31" s="37">
        <v>0</v>
      </c>
      <c r="AO31" s="2">
        <v>0</v>
      </c>
      <c r="AP31" s="2">
        <v>0</v>
      </c>
      <c r="AQ31" s="2">
        <v>0</v>
      </c>
      <c r="AR31" s="2">
        <v>0</v>
      </c>
      <c r="AS31" s="2">
        <v>0</v>
      </c>
      <c r="AT31" s="2">
        <v>0</v>
      </c>
      <c r="AU31" s="2">
        <v>0</v>
      </c>
      <c r="AV31" s="2">
        <v>0</v>
      </c>
      <c r="AW31" s="2">
        <v>0</v>
      </c>
      <c r="AX31" s="2">
        <v>0</v>
      </c>
      <c r="AY31" s="2">
        <v>0</v>
      </c>
      <c r="AZ31" s="2">
        <v>0</v>
      </c>
      <c r="BA31" s="2">
        <v>0</v>
      </c>
      <c r="BB31" s="2">
        <v>0</v>
      </c>
      <c r="BC31" s="2">
        <v>0</v>
      </c>
      <c r="BD31" s="2">
        <v>0</v>
      </c>
      <c r="BE31" s="2">
        <v>0</v>
      </c>
      <c r="BF31" s="2">
        <v>0</v>
      </c>
      <c r="BG31" s="2">
        <v>0</v>
      </c>
      <c r="BH31" s="2">
        <v>0</v>
      </c>
      <c r="BI31" s="2">
        <v>0</v>
      </c>
      <c r="BK31" s="2">
        <v>1</v>
      </c>
      <c r="BL31" s="2">
        <v>0</v>
      </c>
      <c r="BM31" s="2">
        <v>0</v>
      </c>
      <c r="BN31" s="2">
        <v>0</v>
      </c>
      <c r="BO31" s="2">
        <v>0</v>
      </c>
      <c r="BP31" s="2">
        <v>0</v>
      </c>
      <c r="BQ31" s="2">
        <v>0</v>
      </c>
      <c r="BR31" s="2">
        <v>0</v>
      </c>
      <c r="BS31" s="2">
        <v>0</v>
      </c>
      <c r="BT31" s="2">
        <v>0</v>
      </c>
      <c r="BU31" s="2">
        <v>0</v>
      </c>
      <c r="BV31" s="2">
        <v>0</v>
      </c>
      <c r="BW31" s="2">
        <v>0</v>
      </c>
      <c r="BX31" s="2">
        <v>0</v>
      </c>
      <c r="BY31" s="2">
        <v>0</v>
      </c>
      <c r="BZ31" s="2">
        <v>0</v>
      </c>
      <c r="CB31" s="2">
        <v>0</v>
      </c>
      <c r="CC31" s="2">
        <v>0</v>
      </c>
      <c r="CD31" s="2">
        <v>0</v>
      </c>
      <c r="CE31" s="2">
        <v>0</v>
      </c>
      <c r="CF31" s="2">
        <v>0</v>
      </c>
      <c r="CG31" s="2">
        <v>0</v>
      </c>
      <c r="CH31" s="2">
        <v>0</v>
      </c>
      <c r="CI31" s="2">
        <v>0</v>
      </c>
      <c r="CJ31" s="2">
        <v>0</v>
      </c>
      <c r="CK31" s="2">
        <v>0</v>
      </c>
      <c r="CL31" s="2">
        <v>0</v>
      </c>
      <c r="CM31" s="2">
        <v>0</v>
      </c>
      <c r="CN31" s="2">
        <v>0</v>
      </c>
      <c r="CO31" s="2">
        <v>0</v>
      </c>
      <c r="CP31" s="2">
        <v>0</v>
      </c>
      <c r="CQ31" s="2">
        <v>0</v>
      </c>
      <c r="CR31" s="2">
        <v>0</v>
      </c>
      <c r="CS31" s="2">
        <v>0</v>
      </c>
      <c r="CT31" s="2">
        <v>0</v>
      </c>
      <c r="CU31" s="2">
        <v>0</v>
      </c>
      <c r="CV31" s="2">
        <v>0</v>
      </c>
      <c r="CW31" s="2">
        <v>0</v>
      </c>
      <c r="CX31" s="2">
        <v>0</v>
      </c>
      <c r="CY31" s="2">
        <v>0</v>
      </c>
      <c r="CZ31" s="2">
        <v>0</v>
      </c>
      <c r="DA31" s="2">
        <v>0</v>
      </c>
      <c r="DB31" s="2">
        <v>0</v>
      </c>
      <c r="DC31" s="2">
        <v>0</v>
      </c>
      <c r="DD31" s="2">
        <v>0</v>
      </c>
      <c r="DE31" s="2">
        <f t="shared" si="3"/>
        <v>675</v>
      </c>
      <c r="DF31" s="2">
        <v>0</v>
      </c>
    </row>
    <row r="32" spans="1:110" ht="51" x14ac:dyDescent="0.2">
      <c r="A32" s="2" t="s">
        <v>0</v>
      </c>
      <c r="B32" s="2" t="s">
        <v>7</v>
      </c>
      <c r="C32" s="2" t="s">
        <v>237</v>
      </c>
      <c r="D32" s="2" t="s">
        <v>59</v>
      </c>
      <c r="E32" s="2" t="str">
        <f t="shared" si="1"/>
        <v>Schnittholz Bretter Laubholz gehobelt, kammergetrocknet, (u=10%) - RER</v>
      </c>
      <c r="F32" s="2" t="s">
        <v>88</v>
      </c>
      <c r="G32" s="2">
        <f>HLOOKUP($H32,'LCIA Daten manuell'!$A$1:$CU$3,3,FALSE)/1000</f>
        <v>0.67500000000000004</v>
      </c>
      <c r="H32" s="2" t="str">
        <f t="shared" si="0"/>
        <v>sawnwood, board, hardwood, dried (u=10%), planed, at sawmill - RER</v>
      </c>
      <c r="I32" s="36">
        <f>1.52*J32</f>
        <v>1.7893440000000005</v>
      </c>
      <c r="J32" s="36">
        <f>1.09*K32</f>
        <v>1.1772000000000002</v>
      </c>
      <c r="K32" s="36">
        <v>1.08</v>
      </c>
      <c r="L32" s="2">
        <v>0</v>
      </c>
      <c r="M32" s="2">
        <f>-HLOOKUP("m3 Rundholz/m3 Produkt",$I$2:$K$103,ROW()-1,FALSE)</f>
        <v>-1.7893440000000005</v>
      </c>
      <c r="N32" s="2">
        <v>0</v>
      </c>
      <c r="O32" s="2">
        <v>0</v>
      </c>
      <c r="P32" s="2">
        <f>-68.19*HLOOKUP("m3 Stufe1/m3 Produkt",$I$2:$K$103,ROW()-1,FALSE)</f>
        <v>-80.273268000000016</v>
      </c>
      <c r="Q32" s="2">
        <v>0</v>
      </c>
      <c r="R32" s="2">
        <v>0</v>
      </c>
      <c r="S32" s="2">
        <v>0</v>
      </c>
      <c r="T32" s="2">
        <v>0</v>
      </c>
      <c r="U32" s="2">
        <v>0</v>
      </c>
      <c r="V32" s="2">
        <v>0</v>
      </c>
      <c r="W32" s="2">
        <v>0</v>
      </c>
      <c r="X32" s="2">
        <v>0</v>
      </c>
      <c r="Y32" s="2">
        <v>0</v>
      </c>
      <c r="Z32" s="2">
        <v>0</v>
      </c>
      <c r="AA32" s="2">
        <v>0</v>
      </c>
      <c r="AB32" s="2">
        <v>0</v>
      </c>
      <c r="AC32" s="2">
        <v>0</v>
      </c>
      <c r="AD32" s="2">
        <v>0</v>
      </c>
      <c r="AE32" s="2">
        <v>0</v>
      </c>
      <c r="AF32" s="2">
        <v>0</v>
      </c>
      <c r="AG32" s="2">
        <v>0</v>
      </c>
      <c r="AH32" s="2">
        <v>0</v>
      </c>
      <c r="AI32" s="2">
        <v>0</v>
      </c>
      <c r="AJ32" s="2">
        <v>0</v>
      </c>
      <c r="AK32" s="2">
        <v>0</v>
      </c>
      <c r="AL32" s="2">
        <v>0</v>
      </c>
      <c r="AM32" s="2">
        <v>0</v>
      </c>
      <c r="AN32" s="37">
        <v>0</v>
      </c>
      <c r="AO32" s="2">
        <v>0</v>
      </c>
      <c r="AP32" s="2">
        <v>0</v>
      </c>
      <c r="AQ32" s="2">
        <v>0</v>
      </c>
      <c r="AR32" s="2">
        <v>0</v>
      </c>
      <c r="AS32" s="2">
        <v>0</v>
      </c>
      <c r="AT32" s="2">
        <v>0</v>
      </c>
      <c r="AU32" s="2">
        <v>0</v>
      </c>
      <c r="AV32" s="2">
        <v>0</v>
      </c>
      <c r="AW32" s="2">
        <v>0</v>
      </c>
      <c r="AX32" s="2">
        <v>0</v>
      </c>
      <c r="AY32" s="2">
        <v>0</v>
      </c>
      <c r="AZ32" s="2">
        <v>0</v>
      </c>
      <c r="BA32" s="2">
        <v>1</v>
      </c>
      <c r="BB32" s="2">
        <v>0</v>
      </c>
      <c r="BC32" s="2">
        <v>0</v>
      </c>
      <c r="BD32" s="2">
        <v>0</v>
      </c>
      <c r="BE32" s="2">
        <v>0</v>
      </c>
      <c r="BF32" s="2">
        <v>0</v>
      </c>
      <c r="BG32" s="2">
        <v>0</v>
      </c>
      <c r="BH32" s="2">
        <v>0</v>
      </c>
      <c r="BI32" s="2">
        <v>0</v>
      </c>
      <c r="BJ32" s="2">
        <v>0</v>
      </c>
      <c r="BK32" s="2">
        <v>0</v>
      </c>
      <c r="BL32" s="2">
        <v>0</v>
      </c>
      <c r="BM32" s="2">
        <v>0</v>
      </c>
      <c r="BN32" s="2">
        <v>0</v>
      </c>
      <c r="BO32" s="2">
        <v>0</v>
      </c>
      <c r="BP32" s="2">
        <v>0</v>
      </c>
      <c r="BQ32" s="2">
        <v>0</v>
      </c>
      <c r="BR32" s="2">
        <v>0</v>
      </c>
      <c r="BS32" s="2">
        <v>0</v>
      </c>
      <c r="BT32" s="2">
        <v>0</v>
      </c>
      <c r="BU32" s="2">
        <v>0</v>
      </c>
      <c r="BV32" s="2">
        <v>0</v>
      </c>
      <c r="BW32" s="2">
        <v>0</v>
      </c>
      <c r="BX32" s="2">
        <v>0</v>
      </c>
      <c r="BY32" s="2">
        <v>0</v>
      </c>
      <c r="BZ32" s="2">
        <v>0</v>
      </c>
      <c r="CA32" s="2">
        <v>0</v>
      </c>
      <c r="CB32" s="2">
        <v>0</v>
      </c>
      <c r="CC32" s="2">
        <v>0</v>
      </c>
      <c r="CD32" s="2">
        <v>0</v>
      </c>
      <c r="CE32" s="2">
        <v>0</v>
      </c>
      <c r="CF32" s="2">
        <v>0</v>
      </c>
      <c r="CG32" s="2">
        <v>0</v>
      </c>
      <c r="CH32" s="2">
        <v>0</v>
      </c>
      <c r="CI32" s="2">
        <v>0</v>
      </c>
      <c r="CJ32" s="2">
        <v>0</v>
      </c>
      <c r="CK32" s="2">
        <v>0</v>
      </c>
      <c r="CL32" s="2">
        <v>0</v>
      </c>
      <c r="CM32" s="2">
        <v>0</v>
      </c>
      <c r="CN32" s="2">
        <v>0</v>
      </c>
      <c r="CO32" s="2">
        <v>0</v>
      </c>
      <c r="CP32" s="2">
        <v>0</v>
      </c>
      <c r="CQ32" s="2">
        <v>0</v>
      </c>
      <c r="CR32" s="2">
        <v>0</v>
      </c>
      <c r="CS32" s="2">
        <v>0</v>
      </c>
      <c r="CT32" s="2">
        <v>0</v>
      </c>
      <c r="CU32" s="2">
        <v>0</v>
      </c>
      <c r="CV32" s="2">
        <v>0</v>
      </c>
      <c r="CW32" s="2">
        <v>0</v>
      </c>
      <c r="CX32" s="2">
        <v>0</v>
      </c>
      <c r="CY32" s="2">
        <v>0</v>
      </c>
      <c r="CZ32" s="2">
        <v>0</v>
      </c>
      <c r="DA32" s="2">
        <v>0</v>
      </c>
      <c r="DB32" s="2">
        <v>0</v>
      </c>
      <c r="DC32" s="2">
        <v>0</v>
      </c>
      <c r="DD32" s="2">
        <v>0</v>
      </c>
      <c r="DE32" s="2">
        <f t="shared" si="3"/>
        <v>675</v>
      </c>
      <c r="DF32" s="2">
        <v>0</v>
      </c>
    </row>
    <row r="33" spans="1:110" ht="34" x14ac:dyDescent="0.2">
      <c r="A33" s="2" t="s">
        <v>0</v>
      </c>
      <c r="B33" s="2" t="s">
        <v>7</v>
      </c>
      <c r="C33" s="2" t="s">
        <v>238</v>
      </c>
      <c r="D33" s="2" t="s">
        <v>59</v>
      </c>
      <c r="E33" s="2" t="str">
        <f t="shared" si="1"/>
        <v>Schnittholz Bretter Laubholz gehobelt, getrocknet, (u=20%) - RER</v>
      </c>
      <c r="F33" s="2" t="s">
        <v>88</v>
      </c>
      <c r="G33" s="2">
        <f>HLOOKUP($H33,'LCIA Daten manuell'!$A$1:$CU$3,3,FALSE)/1000</f>
        <v>0.70499999999999996</v>
      </c>
      <c r="H33" s="2" t="str">
        <f t="shared" si="0"/>
        <v>sawnwood, board, hardwood, dried (u=20%), planed, at sawmill - RER</v>
      </c>
      <c r="I33" s="36">
        <f>1.52*J33</f>
        <v>1.7088447999999998</v>
      </c>
      <c r="J33" s="36">
        <f>1.04*K33</f>
        <v>1.1242399999999999</v>
      </c>
      <c r="K33" s="36">
        <f>0.216+0.865</f>
        <v>1.081</v>
      </c>
      <c r="L33" s="2">
        <v>0</v>
      </c>
      <c r="M33" s="2">
        <f>-HLOOKUP("m3 Rundholz/m3 Produkt",$I$2:$K$103,ROW()-1,FALSE)</f>
        <v>-1.7088447999999998</v>
      </c>
      <c r="N33" s="2">
        <v>0</v>
      </c>
      <c r="O33" s="2">
        <v>0</v>
      </c>
      <c r="P33" s="2">
        <f>-68.19*HLOOKUP("m3 Stufe1/m3 Produkt",$I$2:$K$103,ROW()-1,FALSE)</f>
        <v>-76.661925599999989</v>
      </c>
      <c r="Q33" s="2">
        <v>0</v>
      </c>
      <c r="R33" s="2">
        <v>0</v>
      </c>
      <c r="S33" s="2">
        <v>0</v>
      </c>
      <c r="T33" s="2">
        <v>0</v>
      </c>
      <c r="U33" s="2">
        <v>0</v>
      </c>
      <c r="V33" s="2">
        <v>0</v>
      </c>
      <c r="W33" s="2">
        <v>0</v>
      </c>
      <c r="X33" s="2">
        <v>0</v>
      </c>
      <c r="Y33" s="2">
        <v>0</v>
      </c>
      <c r="Z33" s="2">
        <v>0</v>
      </c>
      <c r="AA33" s="2">
        <v>0</v>
      </c>
      <c r="AB33" s="2">
        <v>0</v>
      </c>
      <c r="AC33" s="2">
        <v>0</v>
      </c>
      <c r="AD33" s="2">
        <v>0</v>
      </c>
      <c r="AE33" s="2">
        <v>0</v>
      </c>
      <c r="AF33" s="2">
        <v>0</v>
      </c>
      <c r="AG33" s="2">
        <v>0</v>
      </c>
      <c r="AH33" s="2">
        <v>0</v>
      </c>
      <c r="AI33" s="2">
        <v>0</v>
      </c>
      <c r="AJ33" s="2">
        <v>0</v>
      </c>
      <c r="AK33" s="2">
        <v>0</v>
      </c>
      <c r="AL33" s="2">
        <v>0</v>
      </c>
      <c r="AM33" s="2">
        <v>0</v>
      </c>
      <c r="AN33" s="37">
        <v>0</v>
      </c>
      <c r="AO33" s="2">
        <v>0</v>
      </c>
      <c r="AP33" s="2">
        <v>0</v>
      </c>
      <c r="AQ33" s="2">
        <v>0</v>
      </c>
      <c r="AR33" s="2">
        <v>0</v>
      </c>
      <c r="AS33" s="2">
        <v>0</v>
      </c>
      <c r="AT33" s="2">
        <v>0</v>
      </c>
      <c r="AU33" s="2">
        <v>0</v>
      </c>
      <c r="AV33" s="2">
        <v>0</v>
      </c>
      <c r="AW33" s="2">
        <v>0</v>
      </c>
      <c r="AX33" s="2">
        <v>0</v>
      </c>
      <c r="AY33" s="2">
        <v>0</v>
      </c>
      <c r="AZ33" s="2">
        <v>0</v>
      </c>
      <c r="BA33" s="2">
        <v>0</v>
      </c>
      <c r="BB33" s="2">
        <v>0</v>
      </c>
      <c r="BC33" s="2">
        <v>0</v>
      </c>
      <c r="BD33" s="2">
        <v>0</v>
      </c>
      <c r="BE33" s="2">
        <v>0</v>
      </c>
      <c r="BF33" s="2">
        <v>0</v>
      </c>
      <c r="BG33" s="2">
        <v>1</v>
      </c>
      <c r="BH33" s="2">
        <v>0</v>
      </c>
      <c r="BI33" s="2">
        <v>0</v>
      </c>
      <c r="BJ33" s="2">
        <v>0</v>
      </c>
      <c r="BK33" s="2">
        <v>0</v>
      </c>
      <c r="BL33" s="2">
        <v>0</v>
      </c>
      <c r="BM33" s="2">
        <v>0</v>
      </c>
      <c r="BN33" s="2">
        <v>0</v>
      </c>
      <c r="BO33" s="2">
        <v>0</v>
      </c>
      <c r="BP33" s="2">
        <v>0</v>
      </c>
      <c r="BQ33" s="2">
        <v>0</v>
      </c>
      <c r="BR33" s="2">
        <v>0</v>
      </c>
      <c r="BS33" s="2">
        <v>0</v>
      </c>
      <c r="BT33" s="2">
        <v>0</v>
      </c>
      <c r="BU33" s="2">
        <v>0</v>
      </c>
      <c r="BV33" s="2">
        <v>0</v>
      </c>
      <c r="BW33" s="2">
        <v>0</v>
      </c>
      <c r="BX33" s="2">
        <v>0</v>
      </c>
      <c r="BY33" s="2">
        <v>0</v>
      </c>
      <c r="BZ33" s="2">
        <v>0</v>
      </c>
      <c r="CA33" s="2">
        <v>0</v>
      </c>
      <c r="CB33" s="2">
        <v>0</v>
      </c>
      <c r="CC33" s="2">
        <v>0</v>
      </c>
      <c r="CD33" s="2">
        <v>0</v>
      </c>
      <c r="CE33" s="2">
        <v>0</v>
      </c>
      <c r="CF33" s="2">
        <v>0</v>
      </c>
      <c r="CG33" s="2">
        <v>0</v>
      </c>
      <c r="CH33" s="2">
        <v>0</v>
      </c>
      <c r="CI33" s="2">
        <v>0</v>
      </c>
      <c r="CJ33" s="2">
        <v>0</v>
      </c>
      <c r="CK33" s="2">
        <v>0</v>
      </c>
      <c r="CL33" s="2">
        <v>0</v>
      </c>
      <c r="CM33" s="2">
        <v>0</v>
      </c>
      <c r="CN33" s="2">
        <v>0</v>
      </c>
      <c r="CO33" s="2">
        <v>0</v>
      </c>
      <c r="CP33" s="2">
        <v>0</v>
      </c>
      <c r="CQ33" s="2">
        <v>0</v>
      </c>
      <c r="CR33" s="2">
        <v>0</v>
      </c>
      <c r="CS33" s="2">
        <v>0</v>
      </c>
      <c r="CT33" s="2">
        <v>0</v>
      </c>
      <c r="CU33" s="2">
        <v>0</v>
      </c>
      <c r="CV33" s="2">
        <v>0</v>
      </c>
      <c r="CW33" s="2">
        <v>0</v>
      </c>
      <c r="CX33" s="2">
        <v>0</v>
      </c>
      <c r="CY33" s="2">
        <v>0</v>
      </c>
      <c r="CZ33" s="2">
        <v>0</v>
      </c>
      <c r="DA33" s="2">
        <v>0</v>
      </c>
      <c r="DB33" s="2">
        <v>0</v>
      </c>
      <c r="DC33" s="2">
        <v>0</v>
      </c>
      <c r="DD33" s="2">
        <v>0</v>
      </c>
      <c r="DE33" s="2">
        <f t="shared" si="3"/>
        <v>705</v>
      </c>
      <c r="DF33" s="2">
        <v>0</v>
      </c>
    </row>
    <row r="34" spans="1:110" ht="51" x14ac:dyDescent="0.2">
      <c r="A34" s="2" t="s">
        <v>0</v>
      </c>
      <c r="B34" s="2" t="s">
        <v>5</v>
      </c>
      <c r="C34" s="2" t="s">
        <v>234</v>
      </c>
      <c r="D34" s="2" t="s">
        <v>58</v>
      </c>
      <c r="E34" s="2" t="str">
        <f t="shared" si="1"/>
        <v>Schnittholz Bretter Nadelholz sägerau, luftgetrocknet (u=20%) - CH</v>
      </c>
      <c r="F34" s="2" t="s">
        <v>89</v>
      </c>
      <c r="G34" s="2">
        <f>HLOOKUP($H34,'LCIA Daten manuell'!$A$1:$CU$3,3,FALSE)/1000</f>
        <v>0.48499999999999999</v>
      </c>
      <c r="H34" s="2" t="str">
        <f t="shared" si="0"/>
        <v>sawnwood, board, softwood, raw, air dried (u=20%), at sawmill - CH</v>
      </c>
      <c r="I34" s="36">
        <f t="shared" ref="I34:I43" si="7">1.5*J34</f>
        <v>1.56</v>
      </c>
      <c r="J34" s="36">
        <f>1.04*K34</f>
        <v>1.04</v>
      </c>
      <c r="K34" s="36">
        <v>1</v>
      </c>
      <c r="L34" s="2">
        <v>0</v>
      </c>
      <c r="M34" s="2">
        <v>0</v>
      </c>
      <c r="N34" s="2">
        <f>-HLOOKUP("m3 Rundholz/m3 Produkt",$I$2:$K$103,ROW()-1,FALSE)</f>
        <v>-1.56</v>
      </c>
      <c r="O34" s="2">
        <v>0</v>
      </c>
      <c r="P34" s="2">
        <v>0</v>
      </c>
      <c r="Q34" s="2">
        <f>-57.312*HLOOKUP("m3 Stufe1/m3 Produkt",$I$2:$K$103,ROW()-1,FALSE)</f>
        <v>-59.604480000000002</v>
      </c>
      <c r="R34" s="2">
        <v>0</v>
      </c>
      <c r="S34" s="2">
        <v>0</v>
      </c>
      <c r="T34" s="2">
        <v>0</v>
      </c>
      <c r="U34" s="2">
        <v>0</v>
      </c>
      <c r="V34" s="2">
        <v>0</v>
      </c>
      <c r="W34" s="2">
        <v>0</v>
      </c>
      <c r="X34" s="2">
        <v>0</v>
      </c>
      <c r="Y34" s="2">
        <v>0</v>
      </c>
      <c r="Z34" s="2">
        <v>0</v>
      </c>
      <c r="AA34" s="2">
        <v>0</v>
      </c>
      <c r="AB34" s="2">
        <v>0</v>
      </c>
      <c r="AC34" s="2">
        <v>0</v>
      </c>
      <c r="AD34" s="2">
        <v>0</v>
      </c>
      <c r="AE34" s="2">
        <v>0</v>
      </c>
      <c r="AF34" s="2">
        <v>0</v>
      </c>
      <c r="AG34" s="2">
        <v>0</v>
      </c>
      <c r="AH34" s="2">
        <v>0</v>
      </c>
      <c r="AI34" s="2">
        <v>0</v>
      </c>
      <c r="AJ34" s="2">
        <v>0</v>
      </c>
      <c r="AK34" s="2">
        <v>0</v>
      </c>
      <c r="AL34" s="2">
        <v>0</v>
      </c>
      <c r="AM34" s="2">
        <v>0</v>
      </c>
      <c r="AN34" s="37">
        <v>0</v>
      </c>
      <c r="AO34" s="2">
        <v>1</v>
      </c>
      <c r="AP34" s="2">
        <v>0</v>
      </c>
      <c r="AQ34" s="2">
        <v>0</v>
      </c>
      <c r="AR34" s="2">
        <v>0</v>
      </c>
      <c r="AS34" s="2">
        <v>0</v>
      </c>
      <c r="AT34" s="2">
        <v>0</v>
      </c>
      <c r="AU34" s="2">
        <v>0</v>
      </c>
      <c r="AV34" s="2">
        <v>0</v>
      </c>
      <c r="AW34" s="2">
        <v>0</v>
      </c>
      <c r="AX34" s="2">
        <v>0</v>
      </c>
      <c r="AY34" s="2">
        <v>0</v>
      </c>
      <c r="AZ34" s="2">
        <v>0</v>
      </c>
      <c r="BA34" s="2">
        <v>0</v>
      </c>
      <c r="BB34" s="2">
        <v>0</v>
      </c>
      <c r="BC34" s="2">
        <v>0</v>
      </c>
      <c r="BD34" s="2">
        <v>0</v>
      </c>
      <c r="BE34" s="2">
        <v>0</v>
      </c>
      <c r="BF34" s="2">
        <v>0</v>
      </c>
      <c r="BG34" s="2">
        <v>0</v>
      </c>
      <c r="BH34" s="2">
        <v>0</v>
      </c>
      <c r="BI34" s="2">
        <v>0</v>
      </c>
      <c r="BJ34" s="2">
        <v>0</v>
      </c>
      <c r="BK34" s="2">
        <v>0</v>
      </c>
      <c r="BL34" s="2">
        <v>0</v>
      </c>
      <c r="BM34" s="2">
        <v>0</v>
      </c>
      <c r="BN34" s="2">
        <v>0</v>
      </c>
      <c r="BO34" s="2">
        <v>0</v>
      </c>
      <c r="BP34" s="2">
        <v>0</v>
      </c>
      <c r="BQ34" s="2">
        <v>0</v>
      </c>
      <c r="BR34" s="2">
        <v>0</v>
      </c>
      <c r="BS34" s="2">
        <v>0</v>
      </c>
      <c r="BT34" s="2">
        <v>0</v>
      </c>
      <c r="BU34" s="2">
        <v>0</v>
      </c>
      <c r="BV34" s="2">
        <v>0</v>
      </c>
      <c r="BW34" s="2">
        <v>0</v>
      </c>
      <c r="BX34" s="2">
        <v>0</v>
      </c>
      <c r="BY34" s="2">
        <v>0</v>
      </c>
      <c r="BZ34" s="2">
        <v>0</v>
      </c>
      <c r="CA34" s="2">
        <v>0</v>
      </c>
      <c r="CB34" s="2">
        <v>0</v>
      </c>
      <c r="CC34" s="2">
        <v>0</v>
      </c>
      <c r="CD34" s="2">
        <v>0</v>
      </c>
      <c r="CE34" s="2">
        <v>0</v>
      </c>
      <c r="CF34" s="2">
        <v>0</v>
      </c>
      <c r="CG34" s="2">
        <v>0</v>
      </c>
      <c r="CH34" s="2">
        <v>0</v>
      </c>
      <c r="CI34" s="2">
        <v>0</v>
      </c>
      <c r="CJ34" s="2">
        <v>0</v>
      </c>
      <c r="CK34" s="2">
        <v>0</v>
      </c>
      <c r="CL34" s="2">
        <v>0</v>
      </c>
      <c r="CM34" s="2">
        <v>0</v>
      </c>
      <c r="CN34" s="2">
        <v>0</v>
      </c>
      <c r="CO34" s="2">
        <v>0</v>
      </c>
      <c r="CP34" s="2">
        <v>0</v>
      </c>
      <c r="CQ34" s="2">
        <v>0</v>
      </c>
      <c r="CR34" s="2">
        <v>0</v>
      </c>
      <c r="CS34" s="2">
        <v>0</v>
      </c>
      <c r="CT34" s="2">
        <v>0</v>
      </c>
      <c r="CU34" s="2">
        <v>0</v>
      </c>
      <c r="CV34" s="2">
        <v>0</v>
      </c>
      <c r="CW34" s="2">
        <v>0</v>
      </c>
      <c r="CX34" s="2">
        <v>0</v>
      </c>
      <c r="CY34" s="2">
        <v>0</v>
      </c>
      <c r="CZ34" s="2">
        <v>0</v>
      </c>
      <c r="DA34" s="2">
        <v>0</v>
      </c>
      <c r="DB34" s="2">
        <v>0</v>
      </c>
      <c r="DC34" s="2">
        <v>0</v>
      </c>
      <c r="DD34" s="2">
        <v>0</v>
      </c>
      <c r="DE34" s="2">
        <f t="shared" si="3"/>
        <v>485</v>
      </c>
      <c r="DF34" s="2">
        <v>0</v>
      </c>
    </row>
    <row r="35" spans="1:110" ht="51" x14ac:dyDescent="0.2">
      <c r="A35" s="2" t="s">
        <v>0</v>
      </c>
      <c r="B35" s="2" t="s">
        <v>5</v>
      </c>
      <c r="C35" s="2" t="s">
        <v>235</v>
      </c>
      <c r="D35" s="2" t="s">
        <v>58</v>
      </c>
      <c r="E35" s="2" t="str">
        <f t="shared" si="1"/>
        <v>Schnittholz Bretter Nadelholz sägerau, kammergetrocknet (u=20%) - CH</v>
      </c>
      <c r="F35" s="2" t="s">
        <v>89</v>
      </c>
      <c r="G35" s="2">
        <f>HLOOKUP($H35,'LCIA Daten manuell'!$A$1:$CU$3,3,FALSE)/1000</f>
        <v>0.48499999999999999</v>
      </c>
      <c r="H35" s="2" t="str">
        <f t="shared" si="0"/>
        <v>sawnwood, board, softwood, raw, kiln dried (u=20%), at sawmill - CH</v>
      </c>
      <c r="I35" s="36">
        <f t="shared" si="7"/>
        <v>1.56</v>
      </c>
      <c r="J35" s="36">
        <f>1.04*K35</f>
        <v>1.04</v>
      </c>
      <c r="K35" s="36">
        <v>1</v>
      </c>
      <c r="L35" s="2">
        <v>0</v>
      </c>
      <c r="M35" s="2">
        <v>0</v>
      </c>
      <c r="N35" s="2">
        <f>-HLOOKUP("m3 Rundholz/m3 Produkt",$I$2:$K$103,ROW()-1,FALSE)</f>
        <v>-1.56</v>
      </c>
      <c r="O35" s="2">
        <v>0</v>
      </c>
      <c r="P35" s="2">
        <v>0</v>
      </c>
      <c r="Q35" s="2">
        <f>-57.312*HLOOKUP("m3 Stufe1/m3 Produkt",$I$2:$K$103,ROW()-1,FALSE)</f>
        <v>-59.604480000000002</v>
      </c>
      <c r="R35" s="2">
        <v>0</v>
      </c>
      <c r="S35" s="2">
        <v>0</v>
      </c>
      <c r="T35" s="2">
        <v>0</v>
      </c>
      <c r="U35" s="2">
        <v>0</v>
      </c>
      <c r="V35" s="2">
        <v>0</v>
      </c>
      <c r="W35" s="2">
        <v>0</v>
      </c>
      <c r="X35" s="2">
        <v>0</v>
      </c>
      <c r="Y35" s="2">
        <v>0</v>
      </c>
      <c r="Z35" s="2">
        <v>0</v>
      </c>
      <c r="AA35" s="2">
        <v>0</v>
      </c>
      <c r="AB35" s="2">
        <v>0</v>
      </c>
      <c r="AC35" s="2">
        <v>0</v>
      </c>
      <c r="AD35" s="2">
        <v>0</v>
      </c>
      <c r="AE35" s="2">
        <v>0</v>
      </c>
      <c r="AF35" s="2">
        <v>0</v>
      </c>
      <c r="AG35" s="2">
        <v>0</v>
      </c>
      <c r="AH35" s="2">
        <v>0</v>
      </c>
      <c r="AI35" s="2">
        <v>0</v>
      </c>
      <c r="AJ35" s="2">
        <v>0</v>
      </c>
      <c r="AK35" s="2">
        <v>0</v>
      </c>
      <c r="AL35" s="2">
        <v>0</v>
      </c>
      <c r="AM35" s="2">
        <v>0</v>
      </c>
      <c r="AN35" s="37">
        <v>0</v>
      </c>
      <c r="AO35" s="2">
        <v>0</v>
      </c>
      <c r="AP35" s="2">
        <v>0</v>
      </c>
      <c r="AQ35" s="2">
        <v>0</v>
      </c>
      <c r="AS35" s="2">
        <v>1</v>
      </c>
      <c r="AT35" s="2">
        <v>0</v>
      </c>
      <c r="AU35" s="2">
        <v>0</v>
      </c>
      <c r="AV35" s="2">
        <v>0</v>
      </c>
      <c r="AW35" s="2">
        <v>0</v>
      </c>
      <c r="AX35" s="2">
        <v>0</v>
      </c>
      <c r="AY35" s="2">
        <v>0</v>
      </c>
      <c r="AZ35" s="2">
        <v>0</v>
      </c>
      <c r="BA35" s="2">
        <v>0</v>
      </c>
      <c r="BB35" s="2">
        <v>0</v>
      </c>
      <c r="BC35" s="2">
        <v>0</v>
      </c>
      <c r="BD35" s="2">
        <v>0</v>
      </c>
      <c r="BE35" s="2">
        <v>0</v>
      </c>
      <c r="BF35" s="2">
        <v>0</v>
      </c>
      <c r="BG35" s="2">
        <v>0</v>
      </c>
      <c r="BH35" s="2">
        <v>0</v>
      </c>
      <c r="BI35" s="2">
        <v>0</v>
      </c>
      <c r="BJ35" s="2">
        <v>0</v>
      </c>
      <c r="BK35" s="2">
        <v>0</v>
      </c>
      <c r="BL35" s="2">
        <v>0</v>
      </c>
      <c r="BM35" s="2">
        <v>0</v>
      </c>
      <c r="BN35" s="2">
        <v>0</v>
      </c>
      <c r="BO35" s="2">
        <v>0</v>
      </c>
      <c r="BP35" s="2">
        <v>0</v>
      </c>
      <c r="BQ35" s="2">
        <v>0</v>
      </c>
      <c r="BR35" s="2">
        <v>0</v>
      </c>
      <c r="BS35" s="2">
        <v>0</v>
      </c>
      <c r="BT35" s="2">
        <v>0</v>
      </c>
      <c r="BU35" s="2">
        <v>0</v>
      </c>
      <c r="BV35" s="2">
        <v>0</v>
      </c>
      <c r="BW35" s="2">
        <v>0</v>
      </c>
      <c r="BX35" s="2">
        <v>0</v>
      </c>
      <c r="BY35" s="2">
        <v>0</v>
      </c>
      <c r="BZ35" s="2">
        <v>0</v>
      </c>
      <c r="CA35" s="2">
        <v>0</v>
      </c>
      <c r="CB35" s="2">
        <v>0</v>
      </c>
      <c r="CC35" s="2">
        <v>0</v>
      </c>
      <c r="CD35" s="2">
        <v>0</v>
      </c>
      <c r="CE35" s="2">
        <v>0</v>
      </c>
      <c r="CF35" s="2">
        <v>0</v>
      </c>
      <c r="CG35" s="2">
        <v>0</v>
      </c>
      <c r="CH35" s="2">
        <v>0</v>
      </c>
      <c r="CI35" s="2">
        <v>0</v>
      </c>
      <c r="CJ35" s="2">
        <v>0</v>
      </c>
      <c r="CK35" s="2">
        <v>0</v>
      </c>
      <c r="CL35" s="2">
        <v>0</v>
      </c>
      <c r="CM35" s="2">
        <v>0</v>
      </c>
      <c r="CN35" s="2">
        <v>0</v>
      </c>
      <c r="CO35" s="2">
        <v>0</v>
      </c>
      <c r="CP35" s="2">
        <v>0</v>
      </c>
      <c r="CQ35" s="2">
        <v>0</v>
      </c>
      <c r="CR35" s="2">
        <v>0</v>
      </c>
      <c r="CS35" s="2">
        <v>0</v>
      </c>
      <c r="CT35" s="2">
        <v>0</v>
      </c>
      <c r="CU35" s="2">
        <v>0</v>
      </c>
      <c r="CV35" s="2">
        <v>0</v>
      </c>
      <c r="CW35" s="2">
        <v>0</v>
      </c>
      <c r="CX35" s="2">
        <v>0</v>
      </c>
      <c r="CY35" s="2">
        <v>0</v>
      </c>
      <c r="CZ35" s="2">
        <v>0</v>
      </c>
      <c r="DA35" s="2">
        <v>0</v>
      </c>
      <c r="DB35" s="2">
        <v>0</v>
      </c>
      <c r="DC35" s="2">
        <v>0</v>
      </c>
      <c r="DD35" s="2">
        <v>0</v>
      </c>
      <c r="DE35" s="2">
        <f t="shared" si="3"/>
        <v>485</v>
      </c>
      <c r="DF35" s="2">
        <v>0</v>
      </c>
    </row>
    <row r="36" spans="1:110" ht="51" x14ac:dyDescent="0.2">
      <c r="A36" s="2" t="s">
        <v>0</v>
      </c>
      <c r="B36" s="2" t="s">
        <v>5</v>
      </c>
      <c r="C36" s="2" t="s">
        <v>236</v>
      </c>
      <c r="D36" s="2" t="s">
        <v>58</v>
      </c>
      <c r="E36" s="2" t="str">
        <f t="shared" si="1"/>
        <v>Schnittholz Bretter Nadelholz sägerau, kammergetrocknet (u=10%) - CH</v>
      </c>
      <c r="F36" s="2" t="s">
        <v>89</v>
      </c>
      <c r="G36" s="2">
        <f>HLOOKUP($H36,'LCIA Daten manuell'!$A$1:$CU$3,3,FALSE)/1000</f>
        <v>0.46500000000000002</v>
      </c>
      <c r="H36" s="2" t="str">
        <f t="shared" ref="H36:H63" si="8">INDEX(L$2:DG$2,1,MATCH(1,L36:DG36,0))</f>
        <v>sawnwood, board, softwood, raw, kiln dried (u=10%), at sawmill - CH</v>
      </c>
      <c r="I36" s="36">
        <f t="shared" si="7"/>
        <v>1.6350000000000002</v>
      </c>
      <c r="J36" s="36">
        <f>1.09*K36</f>
        <v>1.0900000000000001</v>
      </c>
      <c r="K36" s="36">
        <v>1</v>
      </c>
      <c r="L36" s="2">
        <v>0</v>
      </c>
      <c r="M36" s="2">
        <v>0</v>
      </c>
      <c r="N36" s="2">
        <f>-HLOOKUP("m3 Rundholz/m3 Produkt",$I$2:$K$103,ROW()-1,FALSE)</f>
        <v>-1.6350000000000002</v>
      </c>
      <c r="O36" s="2">
        <v>0</v>
      </c>
      <c r="P36" s="2">
        <v>0</v>
      </c>
      <c r="Q36" s="2">
        <f>-57.312*HLOOKUP("m3 Stufe1/m3 Produkt",$I$2:$K$103,ROW()-1,FALSE)</f>
        <v>-62.470080000000003</v>
      </c>
      <c r="R36" s="2">
        <v>0</v>
      </c>
      <c r="S36" s="2">
        <v>0</v>
      </c>
      <c r="T36" s="2">
        <v>0</v>
      </c>
      <c r="U36" s="2">
        <v>0</v>
      </c>
      <c r="V36" s="2">
        <v>0</v>
      </c>
      <c r="W36" s="2">
        <v>0</v>
      </c>
      <c r="X36" s="2">
        <v>0</v>
      </c>
      <c r="Y36" s="2">
        <v>0</v>
      </c>
      <c r="Z36" s="2">
        <v>0</v>
      </c>
      <c r="AA36" s="2">
        <v>0</v>
      </c>
      <c r="AB36" s="2">
        <v>0</v>
      </c>
      <c r="AC36" s="2">
        <v>0</v>
      </c>
      <c r="AD36" s="2">
        <v>0</v>
      </c>
      <c r="AE36" s="2">
        <v>0</v>
      </c>
      <c r="AF36" s="2">
        <v>0</v>
      </c>
      <c r="AG36" s="2">
        <v>0</v>
      </c>
      <c r="AH36" s="2">
        <v>0</v>
      </c>
      <c r="AI36" s="2">
        <v>0</v>
      </c>
      <c r="AJ36" s="2">
        <v>0</v>
      </c>
      <c r="AK36" s="2">
        <v>0</v>
      </c>
      <c r="AL36" s="2">
        <v>0</v>
      </c>
      <c r="AM36" s="2">
        <v>0</v>
      </c>
      <c r="AN36" s="37">
        <v>0</v>
      </c>
      <c r="AO36" s="2">
        <v>0</v>
      </c>
      <c r="AP36" s="2">
        <v>0</v>
      </c>
      <c r="AQ36" s="2">
        <v>0</v>
      </c>
      <c r="AR36" s="2">
        <v>1</v>
      </c>
      <c r="AS36" s="2">
        <v>0</v>
      </c>
      <c r="AT36" s="2">
        <v>0</v>
      </c>
      <c r="AU36" s="2">
        <v>0</v>
      </c>
      <c r="AV36" s="2">
        <v>0</v>
      </c>
      <c r="AW36" s="2">
        <v>0</v>
      </c>
      <c r="AX36" s="2">
        <v>0</v>
      </c>
      <c r="AY36" s="2">
        <v>0</v>
      </c>
      <c r="AZ36" s="2">
        <v>0</v>
      </c>
      <c r="BA36" s="2">
        <v>0</v>
      </c>
      <c r="BB36" s="2">
        <v>0</v>
      </c>
      <c r="BC36" s="2">
        <v>0</v>
      </c>
      <c r="BD36" s="2">
        <v>0</v>
      </c>
      <c r="BE36" s="2">
        <v>0</v>
      </c>
      <c r="BF36" s="2">
        <v>0</v>
      </c>
      <c r="BG36" s="2">
        <v>0</v>
      </c>
      <c r="BH36" s="2">
        <v>0</v>
      </c>
      <c r="BI36" s="2">
        <v>0</v>
      </c>
      <c r="BJ36" s="2">
        <v>0</v>
      </c>
      <c r="BK36" s="2">
        <v>0</v>
      </c>
      <c r="BL36" s="2">
        <v>0</v>
      </c>
      <c r="BM36" s="2">
        <v>0</v>
      </c>
      <c r="BN36" s="2">
        <v>0</v>
      </c>
      <c r="BO36" s="2">
        <v>0</v>
      </c>
      <c r="BP36" s="2">
        <v>0</v>
      </c>
      <c r="BQ36" s="2">
        <v>0</v>
      </c>
      <c r="BR36" s="2">
        <v>0</v>
      </c>
      <c r="BS36" s="2">
        <v>0</v>
      </c>
      <c r="BT36" s="2">
        <v>0</v>
      </c>
      <c r="BU36" s="2">
        <v>0</v>
      </c>
      <c r="BV36" s="2">
        <v>0</v>
      </c>
      <c r="BW36" s="2">
        <v>0</v>
      </c>
      <c r="BX36" s="2">
        <v>0</v>
      </c>
      <c r="BY36" s="2">
        <v>0</v>
      </c>
      <c r="BZ36" s="2">
        <v>0</v>
      </c>
      <c r="CA36" s="2">
        <v>0</v>
      </c>
      <c r="CB36" s="2">
        <v>0</v>
      </c>
      <c r="CC36" s="2">
        <v>0</v>
      </c>
      <c r="CD36" s="2">
        <v>0</v>
      </c>
      <c r="CE36" s="2">
        <v>0</v>
      </c>
      <c r="CF36" s="2">
        <v>0</v>
      </c>
      <c r="CG36" s="2">
        <v>0</v>
      </c>
      <c r="CH36" s="2">
        <v>0</v>
      </c>
      <c r="CI36" s="2">
        <v>0</v>
      </c>
      <c r="CJ36" s="2">
        <v>0</v>
      </c>
      <c r="CK36" s="2">
        <v>0</v>
      </c>
      <c r="CL36" s="2">
        <v>0</v>
      </c>
      <c r="CM36" s="2">
        <v>0</v>
      </c>
      <c r="CN36" s="2">
        <v>0</v>
      </c>
      <c r="CO36" s="2">
        <v>0</v>
      </c>
      <c r="CP36" s="2">
        <v>0</v>
      </c>
      <c r="CQ36" s="2">
        <v>0</v>
      </c>
      <c r="CR36" s="2">
        <v>0</v>
      </c>
      <c r="CS36" s="2">
        <v>0</v>
      </c>
      <c r="CT36" s="2">
        <v>0</v>
      </c>
      <c r="CU36" s="2">
        <v>0</v>
      </c>
      <c r="CV36" s="2">
        <v>0</v>
      </c>
      <c r="CW36" s="2">
        <v>0</v>
      </c>
      <c r="CX36" s="2">
        <v>0</v>
      </c>
      <c r="CY36" s="2">
        <v>0</v>
      </c>
      <c r="CZ36" s="2">
        <v>0</v>
      </c>
      <c r="DA36" s="2">
        <v>0</v>
      </c>
      <c r="DB36" s="2">
        <v>0</v>
      </c>
      <c r="DC36" s="2">
        <v>0</v>
      </c>
      <c r="DD36" s="2">
        <v>0</v>
      </c>
      <c r="DE36" s="2">
        <f t="shared" si="3"/>
        <v>465</v>
      </c>
      <c r="DF36" s="2">
        <v>0</v>
      </c>
    </row>
    <row r="37" spans="1:110" ht="51" x14ac:dyDescent="0.2">
      <c r="A37" s="2" t="s">
        <v>0</v>
      </c>
      <c r="B37" s="2" t="s">
        <v>5</v>
      </c>
      <c r="C37" s="2" t="s">
        <v>237</v>
      </c>
      <c r="D37" s="2" t="s">
        <v>58</v>
      </c>
      <c r="E37" s="2" t="str">
        <f t="shared" si="1"/>
        <v>Schnittholz Bretter Nadelholz gehobelt, kammergetrocknet, (u=10%) - CH</v>
      </c>
      <c r="F37" s="2" t="s">
        <v>89</v>
      </c>
      <c r="G37" s="2">
        <f>HLOOKUP($H37,'LCIA Daten manuell'!$A$1:$CU$3,3,FALSE)/1000</f>
        <v>0.46500000000000002</v>
      </c>
      <c r="H37" s="2" t="str">
        <f t="shared" si="8"/>
        <v>sawnwood, board, softwood, dried (u=10%), planed, at sawmill - CH</v>
      </c>
      <c r="I37" s="36">
        <f t="shared" si="7"/>
        <v>1.7658000000000005</v>
      </c>
      <c r="J37" s="36">
        <f>1.09*K37</f>
        <v>1.1772000000000002</v>
      </c>
      <c r="K37" s="36">
        <v>1.08</v>
      </c>
      <c r="L37" s="2">
        <v>0</v>
      </c>
      <c r="M37" s="2">
        <v>0</v>
      </c>
      <c r="N37" s="2">
        <f>-HLOOKUP("m3 Rundholz/m3 Produkt",$I$2:$K$103,ROW()-1,FALSE)</f>
        <v>-1.7658000000000005</v>
      </c>
      <c r="O37" s="2">
        <v>0</v>
      </c>
      <c r="P37" s="2">
        <v>0</v>
      </c>
      <c r="Q37" s="2">
        <f>-57.312*HLOOKUP("m3 Stufe1/m3 Produkt",$I$2:$K$103,ROW()-1,FALSE)</f>
        <v>-67.467686400000005</v>
      </c>
      <c r="R37" s="2">
        <v>0</v>
      </c>
      <c r="S37" s="2">
        <v>0</v>
      </c>
      <c r="T37" s="2">
        <v>0</v>
      </c>
      <c r="U37" s="2">
        <v>0</v>
      </c>
      <c r="V37" s="2">
        <v>0</v>
      </c>
      <c r="W37" s="2">
        <v>0</v>
      </c>
      <c r="X37" s="2">
        <v>0</v>
      </c>
      <c r="Y37" s="2">
        <v>0</v>
      </c>
      <c r="Z37" s="2">
        <v>0</v>
      </c>
      <c r="AA37" s="2">
        <v>0</v>
      </c>
      <c r="AB37" s="2">
        <v>0</v>
      </c>
      <c r="AC37" s="2">
        <v>0</v>
      </c>
      <c r="AD37" s="2">
        <v>0</v>
      </c>
      <c r="AE37" s="2">
        <v>0</v>
      </c>
      <c r="AF37" s="2">
        <v>0</v>
      </c>
      <c r="AG37" s="2">
        <v>0</v>
      </c>
      <c r="AH37" s="2">
        <v>0</v>
      </c>
      <c r="AI37" s="2">
        <v>0</v>
      </c>
      <c r="AJ37" s="2">
        <v>0</v>
      </c>
      <c r="AK37" s="2">
        <v>0</v>
      </c>
      <c r="AL37" s="2">
        <v>0</v>
      </c>
      <c r="AM37" s="2">
        <v>0</v>
      </c>
      <c r="AN37" s="37">
        <v>0</v>
      </c>
      <c r="AO37" s="2">
        <v>0</v>
      </c>
      <c r="AP37" s="2">
        <v>1</v>
      </c>
      <c r="AQ37" s="2">
        <v>0</v>
      </c>
      <c r="AR37" s="2">
        <v>0</v>
      </c>
      <c r="AS37" s="2">
        <v>0</v>
      </c>
      <c r="AT37" s="2">
        <v>0</v>
      </c>
      <c r="AU37" s="2">
        <v>0</v>
      </c>
      <c r="AV37" s="2">
        <v>0</v>
      </c>
      <c r="AW37" s="2">
        <v>0</v>
      </c>
      <c r="AX37" s="2">
        <v>0</v>
      </c>
      <c r="AY37" s="2">
        <v>0</v>
      </c>
      <c r="AZ37" s="2">
        <v>0</v>
      </c>
      <c r="BA37" s="2">
        <v>0</v>
      </c>
      <c r="BB37" s="2">
        <v>0</v>
      </c>
      <c r="BC37" s="2">
        <v>0</v>
      </c>
      <c r="BD37" s="2">
        <v>0</v>
      </c>
      <c r="BE37" s="2">
        <v>0</v>
      </c>
      <c r="BF37" s="2">
        <v>0</v>
      </c>
      <c r="BG37" s="2">
        <v>0</v>
      </c>
      <c r="BH37" s="2">
        <v>0</v>
      </c>
      <c r="BI37" s="2">
        <v>0</v>
      </c>
      <c r="BJ37" s="2">
        <v>0</v>
      </c>
      <c r="BK37" s="2">
        <v>0</v>
      </c>
      <c r="BL37" s="2">
        <v>0</v>
      </c>
      <c r="BM37" s="2">
        <v>0</v>
      </c>
      <c r="BN37" s="2">
        <v>0</v>
      </c>
      <c r="BO37" s="2">
        <v>0</v>
      </c>
      <c r="BP37" s="2">
        <v>0</v>
      </c>
      <c r="BQ37" s="2">
        <v>0</v>
      </c>
      <c r="BR37" s="2">
        <v>0</v>
      </c>
      <c r="BS37" s="2">
        <v>0</v>
      </c>
      <c r="BT37" s="2">
        <v>0</v>
      </c>
      <c r="BU37" s="2">
        <v>0</v>
      </c>
      <c r="BV37" s="2">
        <v>0</v>
      </c>
      <c r="BW37" s="2">
        <v>0</v>
      </c>
      <c r="BX37" s="2">
        <v>0</v>
      </c>
      <c r="BY37" s="2">
        <v>0</v>
      </c>
      <c r="BZ37" s="2">
        <v>0</v>
      </c>
      <c r="CA37" s="2">
        <v>0</v>
      </c>
      <c r="CB37" s="2">
        <v>0</v>
      </c>
      <c r="CC37" s="2">
        <v>0</v>
      </c>
      <c r="CD37" s="2">
        <v>0</v>
      </c>
      <c r="CE37" s="2">
        <v>0</v>
      </c>
      <c r="CF37" s="2">
        <v>0</v>
      </c>
      <c r="CG37" s="2">
        <v>0</v>
      </c>
      <c r="CH37" s="2">
        <v>0</v>
      </c>
      <c r="CI37" s="2">
        <v>0</v>
      </c>
      <c r="CJ37" s="2">
        <v>0</v>
      </c>
      <c r="CK37" s="2">
        <v>0</v>
      </c>
      <c r="CL37" s="2">
        <v>0</v>
      </c>
      <c r="CM37" s="2">
        <v>0</v>
      </c>
      <c r="CN37" s="2">
        <v>0</v>
      </c>
      <c r="CO37" s="2">
        <v>0</v>
      </c>
      <c r="CP37" s="2">
        <v>0</v>
      </c>
      <c r="CQ37" s="2">
        <v>0</v>
      </c>
      <c r="CR37" s="2">
        <v>0</v>
      </c>
      <c r="CS37" s="2">
        <v>0</v>
      </c>
      <c r="CT37" s="2">
        <v>0</v>
      </c>
      <c r="CU37" s="2">
        <v>0</v>
      </c>
      <c r="CV37" s="2">
        <v>0</v>
      </c>
      <c r="CW37" s="2">
        <v>0</v>
      </c>
      <c r="CX37" s="2">
        <v>0</v>
      </c>
      <c r="CY37" s="2">
        <v>0</v>
      </c>
      <c r="CZ37" s="2">
        <v>0</v>
      </c>
      <c r="DA37" s="2">
        <v>0</v>
      </c>
      <c r="DB37" s="2">
        <v>0</v>
      </c>
      <c r="DC37" s="2">
        <v>0</v>
      </c>
      <c r="DD37" s="2">
        <v>0</v>
      </c>
      <c r="DE37" s="2">
        <f t="shared" si="3"/>
        <v>465</v>
      </c>
      <c r="DF37" s="2">
        <v>0</v>
      </c>
    </row>
    <row r="38" spans="1:110" ht="34" x14ac:dyDescent="0.2">
      <c r="A38" s="2" t="s">
        <v>0</v>
      </c>
      <c r="B38" s="2" t="s">
        <v>5</v>
      </c>
      <c r="C38" s="2" t="s">
        <v>238</v>
      </c>
      <c r="D38" s="2" t="s">
        <v>58</v>
      </c>
      <c r="E38" s="2" t="str">
        <f t="shared" si="1"/>
        <v>Schnittholz Bretter Nadelholz gehobelt, getrocknet, (u=20%) - CH</v>
      </c>
      <c r="F38" s="2" t="s">
        <v>89</v>
      </c>
      <c r="G38" s="2">
        <f>HLOOKUP($H38,'LCIA Daten manuell'!$A$1:$CU$3,3,FALSE)/1000</f>
        <v>0.48499999999999999</v>
      </c>
      <c r="H38" s="2" t="str">
        <f t="shared" si="8"/>
        <v>sawnwood, board, softwood, dried (u=20%), planed, at sawmill - CH</v>
      </c>
      <c r="I38" s="36">
        <f t="shared" si="7"/>
        <v>1.6801200000000001</v>
      </c>
      <c r="J38" s="36">
        <f>1.04*K38</f>
        <v>1.12008</v>
      </c>
      <c r="K38" s="36">
        <f>0.215+0.862</f>
        <v>1.077</v>
      </c>
      <c r="L38" s="2">
        <v>0</v>
      </c>
      <c r="M38" s="2">
        <v>0</v>
      </c>
      <c r="N38" s="2">
        <f>-HLOOKUP("m3 Rundholz/m3 Produkt",$I$2:$K$103,ROW()-1,FALSE)</f>
        <v>-1.6801200000000001</v>
      </c>
      <c r="O38" s="2">
        <v>0</v>
      </c>
      <c r="P38" s="2">
        <v>0</v>
      </c>
      <c r="Q38" s="2">
        <f>-57.312*HLOOKUP("m3 Stufe1/m3 Produkt",$I$2:$K$103,ROW()-1,FALSE)</f>
        <v>-64.194024959999993</v>
      </c>
      <c r="R38" s="2">
        <v>0</v>
      </c>
      <c r="S38" s="2">
        <v>0</v>
      </c>
      <c r="T38" s="2">
        <v>0</v>
      </c>
      <c r="U38" s="2">
        <v>0</v>
      </c>
      <c r="V38" s="2">
        <v>0</v>
      </c>
      <c r="W38" s="2">
        <v>0</v>
      </c>
      <c r="X38" s="2">
        <v>0</v>
      </c>
      <c r="Y38" s="2">
        <v>0</v>
      </c>
      <c r="Z38" s="2">
        <v>0</v>
      </c>
      <c r="AA38" s="2">
        <v>0</v>
      </c>
      <c r="AB38" s="2">
        <v>0</v>
      </c>
      <c r="AC38" s="2">
        <v>0</v>
      </c>
      <c r="AD38" s="2">
        <v>0</v>
      </c>
      <c r="AE38" s="2">
        <v>0</v>
      </c>
      <c r="AF38" s="2">
        <v>0</v>
      </c>
      <c r="AG38" s="2">
        <v>0</v>
      </c>
      <c r="AH38" s="2">
        <v>0</v>
      </c>
      <c r="AI38" s="2">
        <v>0</v>
      </c>
      <c r="AJ38" s="2">
        <v>0</v>
      </c>
      <c r="AK38" s="2">
        <v>0</v>
      </c>
      <c r="AL38" s="2">
        <v>0</v>
      </c>
      <c r="AM38" s="2">
        <v>0</v>
      </c>
      <c r="AN38" s="37">
        <v>0</v>
      </c>
      <c r="AO38" s="2">
        <v>0</v>
      </c>
      <c r="AP38" s="2">
        <v>0</v>
      </c>
      <c r="AQ38" s="2">
        <v>1</v>
      </c>
      <c r="AR38" s="2">
        <v>0</v>
      </c>
      <c r="AS38" s="2">
        <v>0</v>
      </c>
      <c r="AT38" s="2">
        <v>0</v>
      </c>
      <c r="AU38" s="2">
        <v>0</v>
      </c>
      <c r="AV38" s="2">
        <v>0</v>
      </c>
      <c r="AW38" s="2">
        <v>0</v>
      </c>
      <c r="AX38" s="2">
        <v>0</v>
      </c>
      <c r="AY38" s="2">
        <v>0</v>
      </c>
      <c r="AZ38" s="2">
        <v>0</v>
      </c>
      <c r="BA38" s="2">
        <v>0</v>
      </c>
      <c r="BB38" s="2">
        <v>0</v>
      </c>
      <c r="BC38" s="2">
        <v>0</v>
      </c>
      <c r="BD38" s="2">
        <v>0</v>
      </c>
      <c r="BE38" s="2">
        <v>0</v>
      </c>
      <c r="BF38" s="2">
        <v>0</v>
      </c>
      <c r="BG38" s="2">
        <v>0</v>
      </c>
      <c r="BH38" s="2">
        <v>0</v>
      </c>
      <c r="BI38" s="2">
        <v>0</v>
      </c>
      <c r="BJ38" s="2">
        <v>0</v>
      </c>
      <c r="BK38" s="2">
        <v>0</v>
      </c>
      <c r="BL38" s="2">
        <v>0</v>
      </c>
      <c r="BM38" s="2">
        <v>0</v>
      </c>
      <c r="BN38" s="2">
        <v>0</v>
      </c>
      <c r="BO38" s="2">
        <v>0</v>
      </c>
      <c r="BP38" s="2">
        <v>0</v>
      </c>
      <c r="BQ38" s="2">
        <v>0</v>
      </c>
      <c r="BR38" s="2">
        <v>0</v>
      </c>
      <c r="BS38" s="2">
        <v>0</v>
      </c>
      <c r="BT38" s="2">
        <v>0</v>
      </c>
      <c r="BU38" s="2">
        <v>0</v>
      </c>
      <c r="BV38" s="2">
        <v>0</v>
      </c>
      <c r="BW38" s="2">
        <v>0</v>
      </c>
      <c r="BX38" s="2">
        <v>0</v>
      </c>
      <c r="BY38" s="2">
        <v>0</v>
      </c>
      <c r="BZ38" s="2">
        <v>0</v>
      </c>
      <c r="CA38" s="2">
        <v>0</v>
      </c>
      <c r="CB38" s="2">
        <v>0</v>
      </c>
      <c r="CC38" s="2">
        <v>0</v>
      </c>
      <c r="CD38" s="2">
        <v>0</v>
      </c>
      <c r="CE38" s="2">
        <v>0</v>
      </c>
      <c r="CF38" s="2">
        <v>0</v>
      </c>
      <c r="CG38" s="2">
        <v>0</v>
      </c>
      <c r="CH38" s="2">
        <v>0</v>
      </c>
      <c r="CI38" s="2">
        <v>0</v>
      </c>
      <c r="CJ38" s="2">
        <v>0</v>
      </c>
      <c r="CK38" s="2">
        <v>0</v>
      </c>
      <c r="CL38" s="2">
        <v>0</v>
      </c>
      <c r="CM38" s="2">
        <v>0</v>
      </c>
      <c r="CN38" s="2">
        <v>0</v>
      </c>
      <c r="CO38" s="2">
        <v>0</v>
      </c>
      <c r="CP38" s="2">
        <v>0</v>
      </c>
      <c r="CQ38" s="2">
        <v>0</v>
      </c>
      <c r="CR38" s="2">
        <v>0</v>
      </c>
      <c r="CS38" s="2">
        <v>0</v>
      </c>
      <c r="CT38" s="2">
        <v>0</v>
      </c>
      <c r="CU38" s="2">
        <v>0</v>
      </c>
      <c r="CV38" s="2">
        <v>0</v>
      </c>
      <c r="CW38" s="2">
        <v>0</v>
      </c>
      <c r="CX38" s="2">
        <v>0</v>
      </c>
      <c r="CY38" s="2">
        <v>0</v>
      </c>
      <c r="CZ38" s="2">
        <v>0</v>
      </c>
      <c r="DA38" s="2">
        <v>0</v>
      </c>
      <c r="DB38" s="2">
        <v>0</v>
      </c>
      <c r="DC38" s="2">
        <v>0</v>
      </c>
      <c r="DD38" s="2">
        <v>0</v>
      </c>
      <c r="DE38" s="2">
        <f t="shared" si="3"/>
        <v>485</v>
      </c>
      <c r="DF38" s="2">
        <v>0</v>
      </c>
    </row>
    <row r="39" spans="1:110" ht="51" x14ac:dyDescent="0.2">
      <c r="A39" s="2" t="s">
        <v>0</v>
      </c>
      <c r="B39" s="2" t="s">
        <v>5</v>
      </c>
      <c r="C39" s="2" t="s">
        <v>234</v>
      </c>
      <c r="D39" s="2" t="s">
        <v>59</v>
      </c>
      <c r="E39" s="2" t="str">
        <f t="shared" si="1"/>
        <v>Schnittholz Bretter Nadelholz sägerau, luftgetrocknet (u=20%) - RER</v>
      </c>
      <c r="F39" s="2" t="s">
        <v>89</v>
      </c>
      <c r="G39" s="2">
        <f>HLOOKUP($H39,'LCIA Daten manuell'!$A$1:$CU$3,3,FALSE)/1000</f>
        <v>0.48499999999999999</v>
      </c>
      <c r="H39" s="2" t="str">
        <f t="shared" si="8"/>
        <v>sawnwood, board, softwood, raw, air dried (u=20%), at sawmill - RER</v>
      </c>
      <c r="I39" s="36">
        <f t="shared" si="7"/>
        <v>1.56</v>
      </c>
      <c r="J39" s="36">
        <f>1.04*K39</f>
        <v>1.04</v>
      </c>
      <c r="K39" s="36">
        <v>1</v>
      </c>
      <c r="L39" s="2">
        <v>0</v>
      </c>
      <c r="M39" s="2">
        <v>0</v>
      </c>
      <c r="N39" s="2">
        <v>0</v>
      </c>
      <c r="O39" s="2">
        <f>-HLOOKUP("m3 Rundholz/m3 Produkt",$I$2:$K$103,ROW()-1,FALSE)</f>
        <v>-1.56</v>
      </c>
      <c r="P39" s="2">
        <f>-57.3*HLOOKUP("m3 Stufe1/m3 Produkt",$I$2:$K$103,ROW()-1,FALSE)</f>
        <v>-59.591999999999999</v>
      </c>
      <c r="Q39" s="2">
        <v>0</v>
      </c>
      <c r="R39" s="2">
        <v>0</v>
      </c>
      <c r="S39" s="2">
        <v>0</v>
      </c>
      <c r="T39" s="2">
        <v>0</v>
      </c>
      <c r="U39" s="2">
        <v>0</v>
      </c>
      <c r="V39" s="2">
        <v>0</v>
      </c>
      <c r="W39" s="2">
        <v>0</v>
      </c>
      <c r="X39" s="2">
        <v>0</v>
      </c>
      <c r="Y39" s="2">
        <v>0</v>
      </c>
      <c r="Z39" s="2">
        <v>0</v>
      </c>
      <c r="AA39" s="2">
        <v>0</v>
      </c>
      <c r="AB39" s="2">
        <v>0</v>
      </c>
      <c r="AC39" s="2">
        <v>0</v>
      </c>
      <c r="AD39" s="2">
        <v>0</v>
      </c>
      <c r="AE39" s="2">
        <v>0</v>
      </c>
      <c r="AF39" s="2">
        <v>0</v>
      </c>
      <c r="AG39" s="2">
        <v>0</v>
      </c>
      <c r="AH39" s="2">
        <v>0</v>
      </c>
      <c r="AI39" s="2">
        <v>0</v>
      </c>
      <c r="AJ39" s="2">
        <v>0</v>
      </c>
      <c r="AK39" s="2">
        <v>0</v>
      </c>
      <c r="AL39" s="2">
        <v>0</v>
      </c>
      <c r="AM39" s="2">
        <v>0</v>
      </c>
      <c r="AN39" s="37">
        <v>0</v>
      </c>
      <c r="AO39" s="2">
        <v>0</v>
      </c>
      <c r="AP39" s="2">
        <v>0</v>
      </c>
      <c r="AQ39" s="2">
        <v>0</v>
      </c>
      <c r="AR39" s="2">
        <v>0</v>
      </c>
      <c r="AS39" s="2">
        <v>0</v>
      </c>
      <c r="AT39" s="2">
        <v>0</v>
      </c>
      <c r="AU39" s="2">
        <v>1</v>
      </c>
      <c r="AV39" s="2">
        <v>0</v>
      </c>
      <c r="AW39" s="2">
        <v>0</v>
      </c>
      <c r="AX39" s="2">
        <v>0</v>
      </c>
      <c r="AY39" s="2">
        <v>0</v>
      </c>
      <c r="AZ39" s="2">
        <v>0</v>
      </c>
      <c r="BA39" s="2">
        <v>0</v>
      </c>
      <c r="BB39" s="2">
        <v>0</v>
      </c>
      <c r="BC39" s="2">
        <v>0</v>
      </c>
      <c r="BD39" s="2">
        <v>0</v>
      </c>
      <c r="BE39" s="2">
        <v>0</v>
      </c>
      <c r="BF39" s="2">
        <v>0</v>
      </c>
      <c r="BG39" s="2">
        <v>0</v>
      </c>
      <c r="BH39" s="2">
        <v>0</v>
      </c>
      <c r="BI39" s="2">
        <v>0</v>
      </c>
      <c r="BJ39" s="2">
        <v>0</v>
      </c>
      <c r="BK39" s="2">
        <v>0</v>
      </c>
      <c r="BL39" s="2">
        <v>0</v>
      </c>
      <c r="BM39" s="2">
        <v>0</v>
      </c>
      <c r="BN39" s="2">
        <v>0</v>
      </c>
      <c r="BO39" s="2">
        <v>0</v>
      </c>
      <c r="BP39" s="2">
        <v>0</v>
      </c>
      <c r="BQ39" s="2">
        <v>0</v>
      </c>
      <c r="BR39" s="2">
        <v>0</v>
      </c>
      <c r="BS39" s="2">
        <v>0</v>
      </c>
      <c r="BT39" s="2">
        <v>0</v>
      </c>
      <c r="BU39" s="2">
        <v>0</v>
      </c>
      <c r="BV39" s="2">
        <v>0</v>
      </c>
      <c r="BW39" s="2">
        <v>0</v>
      </c>
      <c r="BX39" s="2">
        <v>0</v>
      </c>
      <c r="BY39" s="2">
        <v>0</v>
      </c>
      <c r="BZ39" s="2">
        <v>0</v>
      </c>
      <c r="CA39" s="2">
        <v>0</v>
      </c>
      <c r="CB39" s="2">
        <v>0</v>
      </c>
      <c r="CC39" s="2">
        <v>0</v>
      </c>
      <c r="CD39" s="2">
        <v>0</v>
      </c>
      <c r="CE39" s="2">
        <v>0</v>
      </c>
      <c r="CF39" s="2">
        <v>0</v>
      </c>
      <c r="CG39" s="2">
        <v>0</v>
      </c>
      <c r="CH39" s="2">
        <v>0</v>
      </c>
      <c r="CI39" s="2">
        <v>0</v>
      </c>
      <c r="CJ39" s="2">
        <v>0</v>
      </c>
      <c r="CK39" s="2">
        <v>0</v>
      </c>
      <c r="CL39" s="2">
        <v>0</v>
      </c>
      <c r="CM39" s="2">
        <v>0</v>
      </c>
      <c r="CN39" s="2">
        <v>0</v>
      </c>
      <c r="CO39" s="2">
        <v>0</v>
      </c>
      <c r="CP39" s="2">
        <v>0</v>
      </c>
      <c r="CQ39" s="2">
        <v>0</v>
      </c>
      <c r="CR39" s="2">
        <v>0</v>
      </c>
      <c r="CS39" s="2">
        <v>0</v>
      </c>
      <c r="CT39" s="2">
        <v>0</v>
      </c>
      <c r="CU39" s="2">
        <v>0</v>
      </c>
      <c r="CV39" s="2">
        <v>0</v>
      </c>
      <c r="CW39" s="2">
        <v>0</v>
      </c>
      <c r="CX39" s="2">
        <v>0</v>
      </c>
      <c r="CY39" s="2">
        <v>0</v>
      </c>
      <c r="CZ39" s="2">
        <v>0</v>
      </c>
      <c r="DA39" s="2">
        <v>0</v>
      </c>
      <c r="DB39" s="2">
        <v>0</v>
      </c>
      <c r="DC39" s="2">
        <v>0</v>
      </c>
      <c r="DD39" s="2">
        <v>0</v>
      </c>
      <c r="DE39" s="2">
        <f t="shared" si="3"/>
        <v>485</v>
      </c>
      <c r="DF39" s="2">
        <v>0</v>
      </c>
    </row>
    <row r="40" spans="1:110" ht="51" x14ac:dyDescent="0.2">
      <c r="A40" s="2" t="s">
        <v>0</v>
      </c>
      <c r="B40" s="2" t="s">
        <v>5</v>
      </c>
      <c r="C40" s="2" t="s">
        <v>235</v>
      </c>
      <c r="D40" s="2" t="s">
        <v>59</v>
      </c>
      <c r="E40" s="2" t="str">
        <f t="shared" si="1"/>
        <v>Schnittholz Bretter Nadelholz sägerau, kammergetrocknet (u=20%) - RER</v>
      </c>
      <c r="F40" s="2" t="s">
        <v>89</v>
      </c>
      <c r="G40" s="2">
        <f>HLOOKUP($H40,'LCIA Daten manuell'!$A$1:$CU$3,3,FALSE)/1000</f>
        <v>0.48499999999999999</v>
      </c>
      <c r="H40" s="2" t="str">
        <f t="shared" si="8"/>
        <v>sawnwood, board, softwood, raw, kiln dried (u=20%), at sawmill - RER</v>
      </c>
      <c r="I40" s="36">
        <f t="shared" si="7"/>
        <v>1.56</v>
      </c>
      <c r="J40" s="36">
        <f>1.04*K40</f>
        <v>1.04</v>
      </c>
      <c r="K40" s="36">
        <v>1</v>
      </c>
      <c r="L40" s="2">
        <v>0</v>
      </c>
      <c r="M40" s="2">
        <v>0</v>
      </c>
      <c r="N40" s="2">
        <v>0</v>
      </c>
      <c r="O40" s="2">
        <f>-HLOOKUP("m3 Rundholz/m3 Produkt",$I$2:$K$103,ROW()-1,FALSE)</f>
        <v>-1.56</v>
      </c>
      <c r="P40" s="2">
        <f>-57.3*HLOOKUP("m3 Stufe1/m3 Produkt",$I$2:$K$103,ROW()-1,FALSE)</f>
        <v>-59.591999999999999</v>
      </c>
      <c r="Q40" s="2">
        <v>0</v>
      </c>
      <c r="R40" s="2">
        <v>0</v>
      </c>
      <c r="S40" s="2">
        <v>0</v>
      </c>
      <c r="T40" s="2">
        <v>0</v>
      </c>
      <c r="U40" s="2">
        <v>0</v>
      </c>
      <c r="V40" s="2">
        <v>0</v>
      </c>
      <c r="W40" s="2">
        <v>0</v>
      </c>
      <c r="X40" s="2">
        <v>0</v>
      </c>
      <c r="Y40" s="2">
        <v>0</v>
      </c>
      <c r="Z40" s="2">
        <v>0</v>
      </c>
      <c r="AA40" s="2">
        <v>0</v>
      </c>
      <c r="AB40" s="2">
        <v>0</v>
      </c>
      <c r="AC40" s="2">
        <v>0</v>
      </c>
      <c r="AD40" s="2">
        <v>0</v>
      </c>
      <c r="AE40" s="2">
        <v>0</v>
      </c>
      <c r="AF40" s="2">
        <v>0</v>
      </c>
      <c r="AG40" s="2">
        <v>0</v>
      </c>
      <c r="AH40" s="2">
        <v>0</v>
      </c>
      <c r="AI40" s="2">
        <v>0</v>
      </c>
      <c r="AJ40" s="2">
        <v>0</v>
      </c>
      <c r="AK40" s="2">
        <v>0</v>
      </c>
      <c r="AL40" s="2">
        <v>0</v>
      </c>
      <c r="AM40" s="2">
        <v>0</v>
      </c>
      <c r="AN40" s="37">
        <v>0</v>
      </c>
      <c r="AO40" s="2">
        <v>0</v>
      </c>
      <c r="AP40" s="2">
        <v>0</v>
      </c>
      <c r="AQ40" s="2">
        <v>0</v>
      </c>
      <c r="AR40" s="2">
        <v>0</v>
      </c>
      <c r="AS40" s="2">
        <v>0</v>
      </c>
      <c r="AT40" s="2">
        <v>0</v>
      </c>
      <c r="AU40" s="2">
        <v>0</v>
      </c>
      <c r="AV40" s="2">
        <v>1</v>
      </c>
      <c r="AW40" s="2">
        <v>0</v>
      </c>
      <c r="AX40" s="2">
        <v>0</v>
      </c>
      <c r="AY40" s="2">
        <v>0</v>
      </c>
      <c r="AZ40" s="2">
        <v>0</v>
      </c>
      <c r="BA40" s="2">
        <v>0</v>
      </c>
      <c r="BB40" s="2">
        <v>0</v>
      </c>
      <c r="BC40" s="2">
        <v>0</v>
      </c>
      <c r="BD40" s="2">
        <v>0</v>
      </c>
      <c r="BE40" s="2">
        <v>0</v>
      </c>
      <c r="BF40" s="2">
        <v>0</v>
      </c>
      <c r="BG40" s="2">
        <v>0</v>
      </c>
      <c r="BH40" s="2">
        <v>0</v>
      </c>
      <c r="BI40" s="2">
        <v>0</v>
      </c>
      <c r="BJ40" s="2">
        <v>0</v>
      </c>
      <c r="BK40" s="2">
        <v>0</v>
      </c>
      <c r="BL40" s="2">
        <v>0</v>
      </c>
      <c r="BM40" s="2">
        <v>0</v>
      </c>
      <c r="BN40" s="2">
        <v>0</v>
      </c>
      <c r="BO40" s="2">
        <v>0</v>
      </c>
      <c r="BP40" s="2">
        <v>0</v>
      </c>
      <c r="BQ40" s="2">
        <v>0</v>
      </c>
      <c r="BR40" s="2">
        <v>0</v>
      </c>
      <c r="BS40" s="2">
        <v>0</v>
      </c>
      <c r="BT40" s="2">
        <v>0</v>
      </c>
      <c r="BU40" s="2">
        <v>0</v>
      </c>
      <c r="BV40" s="2">
        <v>0</v>
      </c>
      <c r="BW40" s="2">
        <v>0</v>
      </c>
      <c r="BX40" s="2">
        <v>0</v>
      </c>
      <c r="BY40" s="2">
        <v>0</v>
      </c>
      <c r="BZ40" s="2">
        <v>0</v>
      </c>
      <c r="CA40" s="2">
        <v>0</v>
      </c>
      <c r="CB40" s="2">
        <v>0</v>
      </c>
      <c r="CC40" s="2">
        <v>0</v>
      </c>
      <c r="CD40" s="2">
        <v>0</v>
      </c>
      <c r="CE40" s="2">
        <v>0</v>
      </c>
      <c r="CF40" s="2">
        <v>0</v>
      </c>
      <c r="CG40" s="2">
        <v>0</v>
      </c>
      <c r="CH40" s="2">
        <v>0</v>
      </c>
      <c r="CI40" s="2">
        <v>0</v>
      </c>
      <c r="CJ40" s="2">
        <v>0</v>
      </c>
      <c r="CK40" s="2">
        <v>0</v>
      </c>
      <c r="CL40" s="2">
        <v>0</v>
      </c>
      <c r="CM40" s="2">
        <v>0</v>
      </c>
      <c r="CN40" s="2">
        <v>0</v>
      </c>
      <c r="CO40" s="2">
        <v>0</v>
      </c>
      <c r="CP40" s="2">
        <v>0</v>
      </c>
      <c r="CQ40" s="2">
        <v>0</v>
      </c>
      <c r="CR40" s="2">
        <v>0</v>
      </c>
      <c r="CS40" s="2">
        <v>0</v>
      </c>
      <c r="CT40" s="2">
        <v>0</v>
      </c>
      <c r="CU40" s="2">
        <v>0</v>
      </c>
      <c r="CV40" s="2">
        <v>0</v>
      </c>
      <c r="CW40" s="2">
        <v>0</v>
      </c>
      <c r="CX40" s="2">
        <v>0</v>
      </c>
      <c r="CY40" s="2">
        <v>0</v>
      </c>
      <c r="CZ40" s="2">
        <v>0</v>
      </c>
      <c r="DA40" s="2">
        <v>0</v>
      </c>
      <c r="DB40" s="2">
        <v>0</v>
      </c>
      <c r="DC40" s="2">
        <v>0</v>
      </c>
      <c r="DD40" s="2">
        <v>0</v>
      </c>
      <c r="DE40" s="2">
        <f t="shared" si="3"/>
        <v>485</v>
      </c>
      <c r="DF40" s="2">
        <v>0</v>
      </c>
    </row>
    <row r="41" spans="1:110" ht="51" x14ac:dyDescent="0.2">
      <c r="A41" s="2" t="s">
        <v>0</v>
      </c>
      <c r="B41" s="2" t="s">
        <v>5</v>
      </c>
      <c r="C41" s="2" t="s">
        <v>236</v>
      </c>
      <c r="D41" s="2" t="s">
        <v>59</v>
      </c>
      <c r="E41" s="2" t="str">
        <f t="shared" si="1"/>
        <v>Schnittholz Bretter Nadelholz sägerau, kammergetrocknet (u=10%) - RER</v>
      </c>
      <c r="F41" s="2" t="s">
        <v>89</v>
      </c>
      <c r="G41" s="2">
        <f>HLOOKUP($H41,'LCIA Daten manuell'!$A$1:$CU$3,3,FALSE)/1000</f>
        <v>0.46500000000000002</v>
      </c>
      <c r="H41" s="2" t="str">
        <f t="shared" si="8"/>
        <v>sawnwood, board, softwood, raw, dried (u=10%), at sawmill - RER</v>
      </c>
      <c r="I41" s="36">
        <f t="shared" si="7"/>
        <v>1.6350000000000002</v>
      </c>
      <c r="J41" s="36">
        <f>1.09*K41</f>
        <v>1.0900000000000001</v>
      </c>
      <c r="K41" s="36">
        <v>1</v>
      </c>
      <c r="L41" s="2">
        <v>0</v>
      </c>
      <c r="M41" s="2">
        <v>0</v>
      </c>
      <c r="N41" s="2">
        <v>0</v>
      </c>
      <c r="O41" s="2">
        <f>-HLOOKUP("m3 Rundholz/m3 Produkt",$I$2:$K$103,ROW()-1,FALSE)</f>
        <v>-1.6350000000000002</v>
      </c>
      <c r="P41" s="2">
        <f>-57.3*HLOOKUP("m3 Stufe1/m3 Produkt",$I$2:$K$103,ROW()-1,FALSE)</f>
        <v>-62.457000000000001</v>
      </c>
      <c r="Q41" s="2">
        <v>0</v>
      </c>
      <c r="R41" s="2">
        <v>0</v>
      </c>
      <c r="S41" s="2">
        <v>0</v>
      </c>
      <c r="T41" s="2">
        <v>0</v>
      </c>
      <c r="U41" s="2">
        <v>0</v>
      </c>
      <c r="V41" s="2">
        <v>0</v>
      </c>
      <c r="W41" s="2">
        <v>0</v>
      </c>
      <c r="X41" s="2">
        <v>0</v>
      </c>
      <c r="Y41" s="2">
        <v>0</v>
      </c>
      <c r="Z41" s="2">
        <v>0</v>
      </c>
      <c r="AA41" s="2">
        <v>0</v>
      </c>
      <c r="AB41" s="2">
        <v>0</v>
      </c>
      <c r="AC41" s="2">
        <v>0</v>
      </c>
      <c r="AD41" s="2">
        <v>0</v>
      </c>
      <c r="AE41" s="2">
        <v>0</v>
      </c>
      <c r="AF41" s="2">
        <v>0</v>
      </c>
      <c r="AG41" s="2">
        <v>0</v>
      </c>
      <c r="AH41" s="2">
        <v>0</v>
      </c>
      <c r="AI41" s="2">
        <v>0</v>
      </c>
      <c r="AJ41" s="2">
        <v>0</v>
      </c>
      <c r="AK41" s="2">
        <v>0</v>
      </c>
      <c r="AL41" s="2">
        <v>0</v>
      </c>
      <c r="AM41" s="2">
        <v>0</v>
      </c>
      <c r="AN41" s="37">
        <v>0</v>
      </c>
      <c r="AO41" s="2">
        <v>0</v>
      </c>
      <c r="AP41" s="2">
        <v>0</v>
      </c>
      <c r="AQ41" s="2">
        <v>0</v>
      </c>
      <c r="AR41" s="2">
        <v>0</v>
      </c>
      <c r="AS41" s="2">
        <v>0</v>
      </c>
      <c r="AT41" s="2">
        <v>1</v>
      </c>
      <c r="AU41" s="2">
        <v>0</v>
      </c>
      <c r="AV41" s="2">
        <v>0</v>
      </c>
      <c r="AW41" s="2">
        <v>0</v>
      </c>
      <c r="AX41" s="2">
        <v>0</v>
      </c>
      <c r="AY41" s="2">
        <v>0</v>
      </c>
      <c r="AZ41" s="2">
        <v>0</v>
      </c>
      <c r="BA41" s="2">
        <v>0</v>
      </c>
      <c r="BB41" s="2">
        <v>0</v>
      </c>
      <c r="BC41" s="2">
        <v>0</v>
      </c>
      <c r="BD41" s="2">
        <v>0</v>
      </c>
      <c r="BE41" s="2">
        <v>0</v>
      </c>
      <c r="BF41" s="2">
        <v>0</v>
      </c>
      <c r="BG41" s="2">
        <v>0</v>
      </c>
      <c r="BH41" s="2">
        <v>0</v>
      </c>
      <c r="BI41" s="2">
        <v>0</v>
      </c>
      <c r="BJ41" s="2">
        <v>0</v>
      </c>
      <c r="BK41" s="2">
        <v>0</v>
      </c>
      <c r="BL41" s="2">
        <v>0</v>
      </c>
      <c r="BM41" s="2">
        <v>0</v>
      </c>
      <c r="BN41" s="2">
        <v>0</v>
      </c>
      <c r="BO41" s="2">
        <v>0</v>
      </c>
      <c r="BP41" s="2">
        <v>0</v>
      </c>
      <c r="BQ41" s="2">
        <v>0</v>
      </c>
      <c r="BR41" s="2">
        <v>0</v>
      </c>
      <c r="BS41" s="2">
        <v>0</v>
      </c>
      <c r="BT41" s="2">
        <v>0</v>
      </c>
      <c r="BU41" s="2">
        <v>0</v>
      </c>
      <c r="BV41" s="2">
        <v>0</v>
      </c>
      <c r="BW41" s="2">
        <v>0</v>
      </c>
      <c r="BX41" s="2">
        <v>0</v>
      </c>
      <c r="BY41" s="2">
        <v>0</v>
      </c>
      <c r="BZ41" s="2">
        <v>0</v>
      </c>
      <c r="CA41" s="2">
        <v>0</v>
      </c>
      <c r="CB41" s="2">
        <v>0</v>
      </c>
      <c r="CC41" s="2">
        <v>0</v>
      </c>
      <c r="CD41" s="2">
        <v>0</v>
      </c>
      <c r="CE41" s="2">
        <v>0</v>
      </c>
      <c r="CF41" s="2">
        <v>0</v>
      </c>
      <c r="CG41" s="2">
        <v>0</v>
      </c>
      <c r="CH41" s="2">
        <v>0</v>
      </c>
      <c r="CI41" s="2">
        <v>0</v>
      </c>
      <c r="CJ41" s="2">
        <v>0</v>
      </c>
      <c r="CK41" s="2">
        <v>0</v>
      </c>
      <c r="CL41" s="2">
        <v>0</v>
      </c>
      <c r="CM41" s="2">
        <v>0</v>
      </c>
      <c r="CN41" s="2">
        <v>0</v>
      </c>
      <c r="CO41" s="2">
        <v>0</v>
      </c>
      <c r="CP41" s="2">
        <v>0</v>
      </c>
      <c r="CQ41" s="2">
        <v>0</v>
      </c>
      <c r="CR41" s="2">
        <v>0</v>
      </c>
      <c r="CS41" s="2">
        <v>0</v>
      </c>
      <c r="CT41" s="2">
        <v>0</v>
      </c>
      <c r="CU41" s="2">
        <v>0</v>
      </c>
      <c r="CV41" s="2">
        <v>0</v>
      </c>
      <c r="CW41" s="2">
        <v>0</v>
      </c>
      <c r="CX41" s="2">
        <v>0</v>
      </c>
      <c r="CY41" s="2">
        <v>0</v>
      </c>
      <c r="CZ41" s="2">
        <v>0</v>
      </c>
      <c r="DA41" s="2">
        <v>0</v>
      </c>
      <c r="DB41" s="2">
        <v>0</v>
      </c>
      <c r="DC41" s="2">
        <v>0</v>
      </c>
      <c r="DD41" s="2">
        <v>0</v>
      </c>
      <c r="DE41" s="2">
        <f t="shared" si="3"/>
        <v>465</v>
      </c>
      <c r="DF41" s="2">
        <v>0</v>
      </c>
    </row>
    <row r="42" spans="1:110" ht="51" x14ac:dyDescent="0.2">
      <c r="A42" s="2" t="s">
        <v>0</v>
      </c>
      <c r="B42" s="2" t="s">
        <v>5</v>
      </c>
      <c r="C42" s="2" t="s">
        <v>237</v>
      </c>
      <c r="D42" s="2" t="s">
        <v>59</v>
      </c>
      <c r="E42" s="2" t="str">
        <f t="shared" si="1"/>
        <v>Schnittholz Bretter Nadelholz gehobelt, kammergetrocknet, (u=10%) - RER</v>
      </c>
      <c r="F42" s="2" t="s">
        <v>89</v>
      </c>
      <c r="G42" s="2">
        <f>HLOOKUP($H42,'LCIA Daten manuell'!$A$1:$CU$3,3,FALSE)/1000</f>
        <v>0.46500000000000002</v>
      </c>
      <c r="H42" s="2" t="str">
        <f t="shared" si="8"/>
        <v>sawnwood, board, softwood, dried (u=10%), planed, at sawmill - RER</v>
      </c>
      <c r="I42" s="36">
        <f t="shared" si="7"/>
        <v>1.7658000000000005</v>
      </c>
      <c r="J42" s="36">
        <f>1.09*K42</f>
        <v>1.1772000000000002</v>
      </c>
      <c r="K42" s="36">
        <v>1.08</v>
      </c>
      <c r="L42" s="2">
        <v>0</v>
      </c>
      <c r="M42" s="2">
        <v>0</v>
      </c>
      <c r="N42" s="2">
        <v>0</v>
      </c>
      <c r="O42" s="2">
        <f>-HLOOKUP("m3 Rundholz/m3 Produkt",$I$2:$K$103,ROW()-1,FALSE)</f>
        <v>-1.7658000000000005</v>
      </c>
      <c r="P42" s="2">
        <f>-57.3*HLOOKUP("m3 Stufe1/m3 Produkt",$I$2:$K$103,ROW()-1,FALSE)</f>
        <v>-67.45356000000001</v>
      </c>
      <c r="Q42" s="2">
        <v>0</v>
      </c>
      <c r="R42" s="2">
        <v>0</v>
      </c>
      <c r="S42" s="2">
        <v>0</v>
      </c>
      <c r="T42" s="2">
        <v>0</v>
      </c>
      <c r="U42" s="2">
        <v>0</v>
      </c>
      <c r="V42" s="2">
        <v>0</v>
      </c>
      <c r="W42" s="2">
        <v>0</v>
      </c>
      <c r="X42" s="2">
        <v>0</v>
      </c>
      <c r="Y42" s="2">
        <v>0</v>
      </c>
      <c r="Z42" s="2">
        <v>0</v>
      </c>
      <c r="AA42" s="2">
        <v>0</v>
      </c>
      <c r="AB42" s="2">
        <v>0</v>
      </c>
      <c r="AC42" s="2">
        <v>0</v>
      </c>
      <c r="AD42" s="2">
        <v>0</v>
      </c>
      <c r="AE42" s="2">
        <v>0</v>
      </c>
      <c r="AF42" s="2">
        <v>0</v>
      </c>
      <c r="AG42" s="2">
        <v>0</v>
      </c>
      <c r="AH42" s="2">
        <v>0</v>
      </c>
      <c r="AI42" s="2">
        <v>0</v>
      </c>
      <c r="AJ42" s="2">
        <v>0</v>
      </c>
      <c r="AK42" s="2">
        <v>0</v>
      </c>
      <c r="AL42" s="2">
        <v>0</v>
      </c>
      <c r="AM42" s="2">
        <v>0</v>
      </c>
      <c r="AN42" s="37">
        <v>1</v>
      </c>
      <c r="AO42" s="2">
        <v>0</v>
      </c>
      <c r="AP42" s="2">
        <v>0</v>
      </c>
      <c r="AQ42" s="2">
        <v>0</v>
      </c>
      <c r="AR42" s="2">
        <v>0</v>
      </c>
      <c r="AS42" s="2">
        <v>0</v>
      </c>
      <c r="AT42" s="2">
        <v>0</v>
      </c>
      <c r="AU42" s="2">
        <v>0</v>
      </c>
      <c r="AV42" s="2">
        <v>0</v>
      </c>
      <c r="AW42" s="2">
        <v>0</v>
      </c>
      <c r="AX42" s="2">
        <v>0</v>
      </c>
      <c r="AY42" s="2">
        <v>0</v>
      </c>
      <c r="AZ42" s="2">
        <v>0</v>
      </c>
      <c r="BA42" s="2">
        <v>0</v>
      </c>
      <c r="BB42" s="2">
        <v>0</v>
      </c>
      <c r="BC42" s="2">
        <v>0</v>
      </c>
      <c r="BD42" s="2">
        <v>0</v>
      </c>
      <c r="BE42" s="2">
        <v>0</v>
      </c>
      <c r="BF42" s="2">
        <v>0</v>
      </c>
      <c r="BG42" s="2">
        <v>0</v>
      </c>
      <c r="BH42" s="2">
        <v>0</v>
      </c>
      <c r="BI42" s="2">
        <v>0</v>
      </c>
      <c r="BJ42" s="2">
        <v>0</v>
      </c>
      <c r="BK42" s="2">
        <v>0</v>
      </c>
      <c r="BL42" s="2">
        <v>0</v>
      </c>
      <c r="BM42" s="2">
        <v>0</v>
      </c>
      <c r="BN42" s="2">
        <v>0</v>
      </c>
      <c r="BO42" s="2">
        <v>0</v>
      </c>
      <c r="BP42" s="2">
        <v>0</v>
      </c>
      <c r="BQ42" s="2">
        <v>0</v>
      </c>
      <c r="BR42" s="2">
        <v>0</v>
      </c>
      <c r="BS42" s="2">
        <v>0</v>
      </c>
      <c r="BT42" s="2">
        <v>0</v>
      </c>
      <c r="BU42" s="2">
        <v>0</v>
      </c>
      <c r="BV42" s="2">
        <v>0</v>
      </c>
      <c r="BW42" s="2">
        <v>0</v>
      </c>
      <c r="BX42" s="2">
        <v>0</v>
      </c>
      <c r="BY42" s="2">
        <v>0</v>
      </c>
      <c r="BZ42" s="2">
        <v>0</v>
      </c>
      <c r="CA42" s="2">
        <v>0</v>
      </c>
      <c r="CB42" s="2">
        <v>0</v>
      </c>
      <c r="CC42" s="2">
        <v>0</v>
      </c>
      <c r="CD42" s="2">
        <v>0</v>
      </c>
      <c r="CE42" s="2">
        <v>0</v>
      </c>
      <c r="CF42" s="2">
        <v>0</v>
      </c>
      <c r="CG42" s="2">
        <v>0</v>
      </c>
      <c r="CH42" s="2">
        <v>0</v>
      </c>
      <c r="CI42" s="2">
        <v>0</v>
      </c>
      <c r="CJ42" s="2">
        <v>0</v>
      </c>
      <c r="CK42" s="2">
        <v>0</v>
      </c>
      <c r="CL42" s="2">
        <v>0</v>
      </c>
      <c r="CM42" s="2">
        <v>0</v>
      </c>
      <c r="CN42" s="2">
        <v>0</v>
      </c>
      <c r="CO42" s="2">
        <v>0</v>
      </c>
      <c r="CP42" s="2">
        <v>0</v>
      </c>
      <c r="CQ42" s="2">
        <v>0</v>
      </c>
      <c r="CR42" s="2">
        <v>0</v>
      </c>
      <c r="CS42" s="2">
        <v>0</v>
      </c>
      <c r="CT42" s="2">
        <v>0</v>
      </c>
      <c r="CU42" s="2">
        <v>0</v>
      </c>
      <c r="CV42" s="2">
        <v>0</v>
      </c>
      <c r="CW42" s="2">
        <v>0</v>
      </c>
      <c r="CX42" s="2">
        <v>0</v>
      </c>
      <c r="CY42" s="2">
        <v>0</v>
      </c>
      <c r="CZ42" s="2">
        <v>0</v>
      </c>
      <c r="DA42" s="2">
        <v>0</v>
      </c>
      <c r="DB42" s="2">
        <v>0</v>
      </c>
      <c r="DC42" s="2">
        <v>0</v>
      </c>
      <c r="DD42" s="2">
        <v>0</v>
      </c>
      <c r="DE42" s="2">
        <f t="shared" si="3"/>
        <v>465</v>
      </c>
      <c r="DF42" s="2">
        <v>0</v>
      </c>
    </row>
    <row r="43" spans="1:110" ht="34" x14ac:dyDescent="0.2">
      <c r="A43" s="2" t="s">
        <v>0</v>
      </c>
      <c r="B43" s="2" t="s">
        <v>5</v>
      </c>
      <c r="C43" s="2" t="s">
        <v>238</v>
      </c>
      <c r="D43" s="2" t="s">
        <v>59</v>
      </c>
      <c r="E43" s="2" t="str">
        <f t="shared" si="1"/>
        <v>Schnittholz Bretter Nadelholz gehobelt, getrocknet, (u=20%) - RER</v>
      </c>
      <c r="F43" s="2" t="s">
        <v>89</v>
      </c>
      <c r="G43" s="2">
        <f>HLOOKUP($H43,'LCIA Daten manuell'!$A$1:$CU$3,3,FALSE)/1000</f>
        <v>0.48499999999999999</v>
      </c>
      <c r="H43" s="2" t="str">
        <f t="shared" si="8"/>
        <v>sawnwood, board, softwood, dried (u=20%), planed, at sawmill - RER</v>
      </c>
      <c r="I43" s="36">
        <f t="shared" si="7"/>
        <v>1.6801200000000001</v>
      </c>
      <c r="J43" s="36">
        <f>1.04*K43</f>
        <v>1.12008</v>
      </c>
      <c r="K43" s="36">
        <f>0.862+0.215</f>
        <v>1.077</v>
      </c>
      <c r="L43" s="2">
        <v>0</v>
      </c>
      <c r="M43" s="2">
        <v>0</v>
      </c>
      <c r="N43" s="2">
        <v>0</v>
      </c>
      <c r="O43" s="2">
        <f>-HLOOKUP("m3 Rundholz/m3 Produkt",$I$2:$K$103,ROW()-1,FALSE)</f>
        <v>-1.6801200000000001</v>
      </c>
      <c r="P43" s="2">
        <f>-57.3*HLOOKUP("m3 Stufe1/m3 Produkt",$I$2:$K$103,ROW()-1,FALSE)</f>
        <v>-64.180583999999996</v>
      </c>
      <c r="Q43" s="2">
        <v>0</v>
      </c>
      <c r="R43" s="2">
        <v>0</v>
      </c>
      <c r="S43" s="2">
        <v>0</v>
      </c>
      <c r="T43" s="2">
        <v>0</v>
      </c>
      <c r="U43" s="2">
        <v>0</v>
      </c>
      <c r="V43" s="2">
        <v>0</v>
      </c>
      <c r="W43" s="2">
        <v>0</v>
      </c>
      <c r="X43" s="2">
        <v>0</v>
      </c>
      <c r="Y43" s="2">
        <v>0</v>
      </c>
      <c r="Z43" s="2">
        <v>0</v>
      </c>
      <c r="AA43" s="2">
        <v>0</v>
      </c>
      <c r="AB43" s="2">
        <v>0</v>
      </c>
      <c r="AC43" s="2">
        <v>0</v>
      </c>
      <c r="AD43" s="2">
        <v>0</v>
      </c>
      <c r="AE43" s="2">
        <v>0</v>
      </c>
      <c r="AF43" s="2">
        <v>0</v>
      </c>
      <c r="AG43" s="2">
        <v>0</v>
      </c>
      <c r="AH43" s="2">
        <v>0</v>
      </c>
      <c r="AI43" s="2">
        <v>0</v>
      </c>
      <c r="AJ43" s="2">
        <v>0</v>
      </c>
      <c r="AK43" s="2">
        <v>0</v>
      </c>
      <c r="AL43" s="2">
        <v>0</v>
      </c>
      <c r="AM43" s="2">
        <v>0</v>
      </c>
      <c r="AN43" s="37">
        <v>0</v>
      </c>
      <c r="AO43" s="2">
        <v>0</v>
      </c>
      <c r="AP43" s="2">
        <v>0</v>
      </c>
      <c r="AQ43" s="2">
        <v>0</v>
      </c>
      <c r="AR43" s="2">
        <v>0</v>
      </c>
      <c r="AS43" s="2">
        <v>0</v>
      </c>
      <c r="AT43" s="2">
        <v>0</v>
      </c>
      <c r="AU43" s="2">
        <v>0</v>
      </c>
      <c r="AV43" s="2">
        <v>0</v>
      </c>
      <c r="AW43" s="2">
        <v>0</v>
      </c>
      <c r="AX43" s="2">
        <v>0</v>
      </c>
      <c r="AY43" s="2">
        <v>0</v>
      </c>
      <c r="AZ43" s="2">
        <v>0</v>
      </c>
      <c r="BA43" s="2">
        <v>0</v>
      </c>
      <c r="BB43" s="2">
        <v>0</v>
      </c>
      <c r="BC43" s="2">
        <v>0</v>
      </c>
      <c r="BD43" s="2">
        <v>0</v>
      </c>
      <c r="BE43" s="2">
        <v>0</v>
      </c>
      <c r="BF43" s="2">
        <v>0</v>
      </c>
      <c r="BG43" s="2">
        <v>0</v>
      </c>
      <c r="BH43" s="2">
        <v>0</v>
      </c>
      <c r="BI43" s="2">
        <v>1</v>
      </c>
      <c r="BJ43" s="2">
        <v>0</v>
      </c>
      <c r="BK43" s="2">
        <v>0</v>
      </c>
      <c r="BL43" s="2">
        <v>0</v>
      </c>
      <c r="BM43" s="2">
        <v>0</v>
      </c>
      <c r="BN43" s="2">
        <v>0</v>
      </c>
      <c r="BO43" s="2">
        <v>0</v>
      </c>
      <c r="BP43" s="2">
        <v>0</v>
      </c>
      <c r="BQ43" s="2">
        <v>0</v>
      </c>
      <c r="BR43" s="2">
        <v>0</v>
      </c>
      <c r="BS43" s="2">
        <v>0</v>
      </c>
      <c r="BT43" s="2">
        <v>0</v>
      </c>
      <c r="BU43" s="2">
        <v>0</v>
      </c>
      <c r="BV43" s="2">
        <v>0</v>
      </c>
      <c r="BW43" s="2">
        <v>0</v>
      </c>
      <c r="BX43" s="2">
        <v>0</v>
      </c>
      <c r="BY43" s="2">
        <v>0</v>
      </c>
      <c r="BZ43" s="2">
        <v>0</v>
      </c>
      <c r="CA43" s="2">
        <v>0</v>
      </c>
      <c r="CB43" s="2">
        <v>0</v>
      </c>
      <c r="CC43" s="2">
        <v>0</v>
      </c>
      <c r="CD43" s="2">
        <v>0</v>
      </c>
      <c r="CE43" s="2">
        <v>0</v>
      </c>
      <c r="CF43" s="2">
        <v>0</v>
      </c>
      <c r="CG43" s="2">
        <v>0</v>
      </c>
      <c r="CH43" s="2">
        <v>0</v>
      </c>
      <c r="CI43" s="2">
        <v>0</v>
      </c>
      <c r="CJ43" s="2">
        <v>0</v>
      </c>
      <c r="CK43" s="2">
        <v>0</v>
      </c>
      <c r="CL43" s="2">
        <v>0</v>
      </c>
      <c r="CM43" s="2">
        <v>0</v>
      </c>
      <c r="CN43" s="2">
        <v>0</v>
      </c>
      <c r="CO43" s="2">
        <v>0</v>
      </c>
      <c r="CP43" s="2">
        <v>0</v>
      </c>
      <c r="CQ43" s="2">
        <v>0</v>
      </c>
      <c r="CR43" s="2">
        <v>0</v>
      </c>
      <c r="CS43" s="2">
        <v>0</v>
      </c>
      <c r="CT43" s="2">
        <v>0</v>
      </c>
      <c r="CU43" s="2">
        <v>0</v>
      </c>
      <c r="CV43" s="2">
        <v>0</v>
      </c>
      <c r="CW43" s="2">
        <v>0</v>
      </c>
      <c r="CX43" s="2">
        <v>0</v>
      </c>
      <c r="CY43" s="2">
        <v>0</v>
      </c>
      <c r="CZ43" s="2">
        <v>0</v>
      </c>
      <c r="DA43" s="2">
        <v>0</v>
      </c>
      <c r="DB43" s="2">
        <v>0</v>
      </c>
      <c r="DC43" s="2">
        <v>0</v>
      </c>
      <c r="DD43" s="2">
        <v>0</v>
      </c>
      <c r="DE43" s="2">
        <f t="shared" si="3"/>
        <v>485</v>
      </c>
      <c r="DF43" s="2">
        <v>0</v>
      </c>
    </row>
    <row r="44" spans="1:110" ht="51" x14ac:dyDescent="0.2">
      <c r="A44" s="2" t="s">
        <v>0</v>
      </c>
      <c r="B44" s="2" t="s">
        <v>8</v>
      </c>
      <c r="C44" s="2" t="s">
        <v>234</v>
      </c>
      <c r="D44" s="2" t="s">
        <v>58</v>
      </c>
      <c r="E44" s="2" t="str">
        <f t="shared" si="1"/>
        <v>Schnittholz Latten Laubholz sägerau, luftgetrocknet (u=20%) - CH</v>
      </c>
      <c r="F44" s="2" t="s">
        <v>88</v>
      </c>
      <c r="G44" s="2">
        <f>HLOOKUP($H44,'LCIA Daten manuell'!$A$1:$CU$3,3,FALSE)/1000</f>
        <v>0.70499999999999996</v>
      </c>
      <c r="H44" s="2" t="str">
        <f t="shared" si="8"/>
        <v>sawnwood, lath, hardwood, raw, air dried (u=20%), at sawmill - CH</v>
      </c>
      <c r="I44" s="36">
        <f>(1.29+0.228)*J44</f>
        <v>1.5787200000000001</v>
      </c>
      <c r="J44" s="36">
        <f>1.04*K44</f>
        <v>1.04</v>
      </c>
      <c r="K44" s="36">
        <v>1</v>
      </c>
      <c r="L44" s="2">
        <f>-1.29*HLOOKUP("m3 Stufe1/m3 Produkt",$I$2:$K$103,ROW()-1,FALSE)</f>
        <v>-1.3416000000000001</v>
      </c>
      <c r="M44" s="2">
        <f>-0.228*HLOOKUP("m3 Stufe1/m3 Produkt",$I$2:$K$103,ROW()-1,FALSE)</f>
        <v>-0.23712000000000003</v>
      </c>
      <c r="N44" s="2">
        <v>0</v>
      </c>
      <c r="O44" s="2">
        <v>0</v>
      </c>
      <c r="P44" s="2">
        <v>0</v>
      </c>
      <c r="Q44" s="2">
        <f>-68.19*HLOOKUP("m3 Stufe1/m3 Produkt",$I$2:$K$103,ROW()-1,FALSE)</f>
        <v>-70.917599999999993</v>
      </c>
      <c r="R44" s="2">
        <v>0</v>
      </c>
      <c r="S44" s="2">
        <v>0</v>
      </c>
      <c r="T44" s="2">
        <v>0</v>
      </c>
      <c r="U44" s="2">
        <v>0</v>
      </c>
      <c r="V44" s="2">
        <v>0</v>
      </c>
      <c r="W44" s="2">
        <v>0</v>
      </c>
      <c r="X44" s="2">
        <v>0</v>
      </c>
      <c r="Y44" s="2">
        <v>0</v>
      </c>
      <c r="Z44" s="2">
        <v>0</v>
      </c>
      <c r="AA44" s="2">
        <v>0</v>
      </c>
      <c r="AB44" s="2">
        <v>0</v>
      </c>
      <c r="AC44" s="2">
        <v>0</v>
      </c>
      <c r="AD44" s="2">
        <v>0</v>
      </c>
      <c r="AE44" s="2">
        <v>0</v>
      </c>
      <c r="AF44" s="2">
        <v>0</v>
      </c>
      <c r="AG44" s="2">
        <v>0</v>
      </c>
      <c r="AH44" s="2">
        <v>0</v>
      </c>
      <c r="AI44" s="2">
        <v>0</v>
      </c>
      <c r="AJ44" s="2">
        <v>0</v>
      </c>
      <c r="AK44" s="2">
        <v>0</v>
      </c>
      <c r="AL44" s="2">
        <v>0</v>
      </c>
      <c r="AM44" s="2">
        <v>0</v>
      </c>
      <c r="AN44" s="37">
        <v>0</v>
      </c>
      <c r="AO44" s="2">
        <v>0</v>
      </c>
      <c r="AP44" s="2">
        <v>0</v>
      </c>
      <c r="AQ44" s="2">
        <v>0</v>
      </c>
      <c r="AR44" s="2">
        <v>0</v>
      </c>
      <c r="AS44" s="2">
        <v>0</v>
      </c>
      <c r="AT44" s="2">
        <v>0</v>
      </c>
      <c r="AU44" s="2">
        <v>0</v>
      </c>
      <c r="AV44" s="2">
        <v>0</v>
      </c>
      <c r="AW44" s="2">
        <v>0</v>
      </c>
      <c r="AX44" s="2">
        <v>0</v>
      </c>
      <c r="AY44" s="2">
        <v>0</v>
      </c>
      <c r="AZ44" s="2">
        <v>0</v>
      </c>
      <c r="BA44" s="2">
        <v>0</v>
      </c>
      <c r="BB44" s="2">
        <v>0</v>
      </c>
      <c r="BC44" s="2">
        <v>0</v>
      </c>
      <c r="BD44" s="2">
        <v>0</v>
      </c>
      <c r="BE44" s="2">
        <v>0</v>
      </c>
      <c r="BF44" s="2">
        <v>0</v>
      </c>
      <c r="BG44" s="2">
        <v>0</v>
      </c>
      <c r="BH44" s="2">
        <v>0</v>
      </c>
      <c r="BI44" s="2">
        <v>0</v>
      </c>
      <c r="BJ44" s="2">
        <v>0</v>
      </c>
      <c r="BK44" s="2">
        <v>0</v>
      </c>
      <c r="BL44" s="2">
        <v>0</v>
      </c>
      <c r="BM44" s="2">
        <v>0</v>
      </c>
      <c r="BN44" s="2">
        <v>0</v>
      </c>
      <c r="BO44" s="2">
        <v>0</v>
      </c>
      <c r="BP44" s="2">
        <v>0</v>
      </c>
      <c r="BQ44" s="2">
        <v>0</v>
      </c>
      <c r="BR44" s="2">
        <v>1</v>
      </c>
      <c r="BS44" s="2">
        <v>0</v>
      </c>
      <c r="BT44" s="2">
        <v>0</v>
      </c>
      <c r="BU44" s="2">
        <v>0</v>
      </c>
      <c r="BV44" s="2">
        <v>0</v>
      </c>
      <c r="BW44" s="2">
        <v>0</v>
      </c>
      <c r="BX44" s="2">
        <v>0</v>
      </c>
      <c r="BY44" s="2">
        <v>0</v>
      </c>
      <c r="BZ44" s="2">
        <v>0</v>
      </c>
      <c r="CA44" s="2">
        <v>0</v>
      </c>
      <c r="CB44" s="2">
        <v>0</v>
      </c>
      <c r="CC44" s="2">
        <v>0</v>
      </c>
      <c r="CD44" s="2">
        <v>0</v>
      </c>
      <c r="CE44" s="2">
        <v>0</v>
      </c>
      <c r="CF44" s="2">
        <v>0</v>
      </c>
      <c r="CG44" s="2">
        <v>0</v>
      </c>
      <c r="CH44" s="2">
        <v>0</v>
      </c>
      <c r="CI44" s="2">
        <v>0</v>
      </c>
      <c r="CJ44" s="2">
        <v>0</v>
      </c>
      <c r="CK44" s="2">
        <v>0</v>
      </c>
      <c r="CL44" s="2">
        <v>0</v>
      </c>
      <c r="CM44" s="2">
        <v>0</v>
      </c>
      <c r="CN44" s="2">
        <v>0</v>
      </c>
      <c r="CO44" s="2">
        <v>0</v>
      </c>
      <c r="CP44" s="2">
        <v>0</v>
      </c>
      <c r="CQ44" s="2">
        <v>0</v>
      </c>
      <c r="CR44" s="2">
        <v>0</v>
      </c>
      <c r="CS44" s="2">
        <v>0</v>
      </c>
      <c r="CT44" s="2">
        <v>0</v>
      </c>
      <c r="CU44" s="2">
        <v>0</v>
      </c>
      <c r="CV44" s="2">
        <v>0</v>
      </c>
      <c r="CW44" s="2">
        <v>0</v>
      </c>
      <c r="CX44" s="2">
        <v>0</v>
      </c>
      <c r="CY44" s="2">
        <v>0</v>
      </c>
      <c r="CZ44" s="2">
        <v>0</v>
      </c>
      <c r="DA44" s="2">
        <v>0</v>
      </c>
      <c r="DB44" s="2">
        <v>0</v>
      </c>
      <c r="DC44" s="2">
        <v>0</v>
      </c>
      <c r="DD44" s="2">
        <v>0</v>
      </c>
      <c r="DE44" s="2">
        <f t="shared" si="3"/>
        <v>705</v>
      </c>
      <c r="DF44" s="2">
        <v>0</v>
      </c>
    </row>
    <row r="45" spans="1:110" ht="51" x14ac:dyDescent="0.2">
      <c r="A45" s="2" t="s">
        <v>0</v>
      </c>
      <c r="B45" s="2" t="s">
        <v>8</v>
      </c>
      <c r="C45" s="2" t="s">
        <v>235</v>
      </c>
      <c r="D45" s="2" t="s">
        <v>58</v>
      </c>
      <c r="E45" s="2" t="str">
        <f t="shared" si="1"/>
        <v>Schnittholz Latten Laubholz sägerau, kammergetrocknet (u=20%) - CH</v>
      </c>
      <c r="F45" s="2" t="s">
        <v>88</v>
      </c>
      <c r="G45" s="2">
        <f>HLOOKUP($H45,'LCIA Daten manuell'!$A$1:$CU$3,3,FALSE)/1000</f>
        <v>0.70499999999999996</v>
      </c>
      <c r="H45" s="2" t="str">
        <f t="shared" si="8"/>
        <v>sawnwood, lath, hardwood, raw, kiln dried (u=20%), at sawmill - CH</v>
      </c>
      <c r="I45" s="36">
        <f>(1.29+0.228)*J45</f>
        <v>1.5787200000000001</v>
      </c>
      <c r="J45" s="36">
        <f>1.04*K45</f>
        <v>1.04</v>
      </c>
      <c r="K45" s="36">
        <v>1</v>
      </c>
      <c r="L45" s="2">
        <f>-1.29*HLOOKUP("m3 Stufe1/m3 Produkt",$I$2:$K$103,ROW()-1,FALSE)</f>
        <v>-1.3416000000000001</v>
      </c>
      <c r="M45" s="2">
        <f>-0.228*HLOOKUP("m3 Stufe1/m3 Produkt",$I$2:$K$103,ROW()-1,FALSE)</f>
        <v>-0.23712000000000003</v>
      </c>
      <c r="N45" s="2">
        <v>0</v>
      </c>
      <c r="O45" s="2">
        <v>0</v>
      </c>
      <c r="P45" s="2">
        <v>0</v>
      </c>
      <c r="Q45" s="2">
        <f>-68.19*HLOOKUP("m3 Stufe1/m3 Produkt",$I$2:$K$103,ROW()-1,FALSE)</f>
        <v>-70.917599999999993</v>
      </c>
      <c r="R45" s="2">
        <v>0</v>
      </c>
      <c r="S45" s="2">
        <v>0</v>
      </c>
      <c r="T45" s="2">
        <v>0</v>
      </c>
      <c r="U45" s="2">
        <v>0</v>
      </c>
      <c r="V45" s="2">
        <v>0</v>
      </c>
      <c r="W45" s="2">
        <v>0</v>
      </c>
      <c r="X45" s="2">
        <v>0</v>
      </c>
      <c r="Y45" s="2">
        <v>0</v>
      </c>
      <c r="Z45" s="2">
        <v>0</v>
      </c>
      <c r="AA45" s="2">
        <v>0</v>
      </c>
      <c r="AB45" s="2">
        <v>0</v>
      </c>
      <c r="AC45" s="2">
        <v>0</v>
      </c>
      <c r="AD45" s="2">
        <v>0</v>
      </c>
      <c r="AE45" s="2">
        <v>0</v>
      </c>
      <c r="AF45" s="2">
        <v>0</v>
      </c>
      <c r="AG45" s="2">
        <v>0</v>
      </c>
      <c r="AH45" s="2">
        <v>0</v>
      </c>
      <c r="AI45" s="2">
        <v>0</v>
      </c>
      <c r="AJ45" s="2">
        <v>0</v>
      </c>
      <c r="AK45" s="2">
        <v>0</v>
      </c>
      <c r="AL45" s="2">
        <v>0</v>
      </c>
      <c r="AM45" s="2">
        <v>0</v>
      </c>
      <c r="AN45" s="37">
        <v>0</v>
      </c>
      <c r="AO45" s="2">
        <v>0</v>
      </c>
      <c r="AP45" s="2">
        <v>0</v>
      </c>
      <c r="AQ45" s="2">
        <v>0</v>
      </c>
      <c r="AR45" s="2">
        <v>0</v>
      </c>
      <c r="AS45" s="2">
        <v>0</v>
      </c>
      <c r="AT45" s="2">
        <v>0</v>
      </c>
      <c r="AU45" s="2">
        <v>0</v>
      </c>
      <c r="AV45" s="2">
        <v>0</v>
      </c>
      <c r="AW45" s="2">
        <v>0</v>
      </c>
      <c r="AX45" s="2">
        <v>0</v>
      </c>
      <c r="AY45" s="2">
        <v>0</v>
      </c>
      <c r="AZ45" s="2">
        <v>0</v>
      </c>
      <c r="BA45" s="2">
        <v>0</v>
      </c>
      <c r="BB45" s="2">
        <v>0</v>
      </c>
      <c r="BC45" s="2">
        <v>0</v>
      </c>
      <c r="BD45" s="2">
        <v>0</v>
      </c>
      <c r="BE45" s="2">
        <v>0</v>
      </c>
      <c r="BF45" s="2">
        <v>0</v>
      </c>
      <c r="BG45" s="2">
        <v>0</v>
      </c>
      <c r="BH45" s="2">
        <v>0</v>
      </c>
      <c r="BI45" s="2">
        <v>0</v>
      </c>
      <c r="BJ45" s="2">
        <v>0</v>
      </c>
      <c r="BK45" s="2">
        <v>0</v>
      </c>
      <c r="BL45" s="2">
        <v>0</v>
      </c>
      <c r="BM45" s="2">
        <v>0</v>
      </c>
      <c r="BN45" s="2">
        <v>0</v>
      </c>
      <c r="BO45" s="2">
        <v>0</v>
      </c>
      <c r="BP45" s="2">
        <v>0</v>
      </c>
      <c r="BQ45" s="2">
        <v>0</v>
      </c>
      <c r="BR45" s="2">
        <v>0</v>
      </c>
      <c r="BS45" s="2">
        <v>0</v>
      </c>
      <c r="BT45" s="2">
        <v>1</v>
      </c>
      <c r="BV45" s="2">
        <v>0</v>
      </c>
      <c r="BW45" s="2">
        <v>0</v>
      </c>
      <c r="BX45" s="2">
        <v>0</v>
      </c>
      <c r="BY45" s="2">
        <v>0</v>
      </c>
      <c r="BZ45" s="2">
        <v>0</v>
      </c>
      <c r="CA45" s="2">
        <v>0</v>
      </c>
      <c r="CB45" s="2">
        <v>0</v>
      </c>
      <c r="CC45" s="2">
        <v>0</v>
      </c>
      <c r="CD45" s="2">
        <v>0</v>
      </c>
      <c r="CE45" s="2">
        <v>0</v>
      </c>
      <c r="CF45" s="2">
        <v>0</v>
      </c>
      <c r="CG45" s="2">
        <v>0</v>
      </c>
      <c r="CH45" s="2">
        <v>0</v>
      </c>
      <c r="CI45" s="2">
        <v>0</v>
      </c>
      <c r="CJ45" s="2">
        <v>0</v>
      </c>
      <c r="CK45" s="2">
        <v>0</v>
      </c>
      <c r="CL45" s="2">
        <v>0</v>
      </c>
      <c r="CM45" s="2">
        <v>0</v>
      </c>
      <c r="CN45" s="2">
        <v>0</v>
      </c>
      <c r="CO45" s="2">
        <v>0</v>
      </c>
      <c r="CP45" s="2">
        <v>0</v>
      </c>
      <c r="CQ45" s="2">
        <v>0</v>
      </c>
      <c r="CR45" s="2">
        <v>0</v>
      </c>
      <c r="CS45" s="2">
        <v>0</v>
      </c>
      <c r="CT45" s="2">
        <v>0</v>
      </c>
      <c r="CU45" s="2">
        <v>0</v>
      </c>
      <c r="CV45" s="2">
        <v>0</v>
      </c>
      <c r="CW45" s="2">
        <v>0</v>
      </c>
      <c r="CX45" s="2">
        <v>0</v>
      </c>
      <c r="CY45" s="2">
        <v>0</v>
      </c>
      <c r="CZ45" s="2">
        <v>0</v>
      </c>
      <c r="DA45" s="2">
        <v>0</v>
      </c>
      <c r="DB45" s="2">
        <v>0</v>
      </c>
      <c r="DC45" s="2">
        <v>0</v>
      </c>
      <c r="DD45" s="2">
        <v>0</v>
      </c>
      <c r="DE45" s="2">
        <f t="shared" si="3"/>
        <v>705</v>
      </c>
      <c r="DF45" s="2">
        <v>0</v>
      </c>
    </row>
    <row r="46" spans="1:110" ht="51" x14ac:dyDescent="0.2">
      <c r="A46" s="2" t="s">
        <v>0</v>
      </c>
      <c r="B46" s="2" t="s">
        <v>8</v>
      </c>
      <c r="C46" s="2" t="s">
        <v>236</v>
      </c>
      <c r="D46" s="2" t="s">
        <v>58</v>
      </c>
      <c r="E46" s="2" t="str">
        <f t="shared" si="1"/>
        <v>Schnittholz Latten Laubholz sägerau, kammergetrocknet (u=10%) - CH</v>
      </c>
      <c r="F46" s="2" t="s">
        <v>88</v>
      </c>
      <c r="G46" s="2">
        <f>HLOOKUP($H46,'LCIA Daten manuell'!$A$1:$CU$3,3,FALSE)/1000</f>
        <v>0.67500000000000004</v>
      </c>
      <c r="H46" s="2" t="str">
        <f t="shared" si="8"/>
        <v>sawnwood, lath, hardwood, raw, kiln dried (u=10%), at sawmill - CH</v>
      </c>
      <c r="I46" s="36">
        <f>(1.29+0.228)*J46</f>
        <v>1.6546200000000002</v>
      </c>
      <c r="J46" s="36">
        <f>1.09*K46</f>
        <v>1.0900000000000001</v>
      </c>
      <c r="K46" s="36">
        <v>1</v>
      </c>
      <c r="L46" s="2">
        <f>-1.29*HLOOKUP("m3 Stufe1/m3 Produkt",$I$2:$K$103,ROW()-1,FALSE)</f>
        <v>-1.4061000000000001</v>
      </c>
      <c r="M46" s="2">
        <f>-0.228*HLOOKUP("m3 Stufe1/m3 Produkt",$I$2:$K$103,ROW()-1,FALSE)</f>
        <v>-0.24852000000000002</v>
      </c>
      <c r="N46" s="2">
        <v>0</v>
      </c>
      <c r="O46" s="2">
        <v>0</v>
      </c>
      <c r="P46" s="2">
        <v>0</v>
      </c>
      <c r="Q46" s="2">
        <f>-68.19*HLOOKUP("m3 Stufe1/m3 Produkt",$I$2:$K$103,ROW()-1,FALSE)</f>
        <v>-74.327100000000002</v>
      </c>
      <c r="R46" s="2">
        <v>0</v>
      </c>
      <c r="S46" s="2">
        <v>0</v>
      </c>
      <c r="T46" s="2">
        <v>0</v>
      </c>
      <c r="U46" s="2">
        <v>0</v>
      </c>
      <c r="V46" s="2">
        <v>0</v>
      </c>
      <c r="W46" s="2">
        <v>0</v>
      </c>
      <c r="X46" s="2">
        <v>0</v>
      </c>
      <c r="Y46" s="2">
        <v>0</v>
      </c>
      <c r="Z46" s="2">
        <v>0</v>
      </c>
      <c r="AA46" s="2">
        <v>0</v>
      </c>
      <c r="AB46" s="2">
        <v>0</v>
      </c>
      <c r="AC46" s="2">
        <v>0</v>
      </c>
      <c r="AD46" s="2">
        <v>0</v>
      </c>
      <c r="AE46" s="2">
        <v>0</v>
      </c>
      <c r="AF46" s="2">
        <v>0</v>
      </c>
      <c r="AG46" s="2">
        <v>0</v>
      </c>
      <c r="AH46" s="2">
        <v>0</v>
      </c>
      <c r="AI46" s="2">
        <v>0</v>
      </c>
      <c r="AJ46" s="2">
        <v>0</v>
      </c>
      <c r="AK46" s="2">
        <v>0</v>
      </c>
      <c r="AL46" s="2">
        <v>0</v>
      </c>
      <c r="AM46" s="2">
        <v>0</v>
      </c>
      <c r="AN46" s="37">
        <v>0</v>
      </c>
      <c r="AO46" s="2">
        <v>0</v>
      </c>
      <c r="AP46" s="2">
        <v>0</v>
      </c>
      <c r="AQ46" s="2">
        <v>0</v>
      </c>
      <c r="AR46" s="2">
        <v>0</v>
      </c>
      <c r="AS46" s="2">
        <v>0</v>
      </c>
      <c r="AT46" s="2">
        <v>0</v>
      </c>
      <c r="AU46" s="2">
        <v>0</v>
      </c>
      <c r="AV46" s="2">
        <v>0</v>
      </c>
      <c r="AW46" s="2">
        <v>0</v>
      </c>
      <c r="AX46" s="2">
        <v>0</v>
      </c>
      <c r="AY46" s="2">
        <v>0</v>
      </c>
      <c r="AZ46" s="2">
        <v>0</v>
      </c>
      <c r="BA46" s="2">
        <v>0</v>
      </c>
      <c r="BB46" s="2">
        <v>0</v>
      </c>
      <c r="BC46" s="2">
        <v>0</v>
      </c>
      <c r="BD46" s="2">
        <v>0</v>
      </c>
      <c r="BE46" s="2">
        <v>0</v>
      </c>
      <c r="BF46" s="2">
        <v>0</v>
      </c>
      <c r="BG46" s="2">
        <v>0</v>
      </c>
      <c r="BH46" s="2">
        <v>0</v>
      </c>
      <c r="BI46" s="2">
        <v>0</v>
      </c>
      <c r="BJ46" s="2">
        <v>0</v>
      </c>
      <c r="BK46" s="2">
        <v>0</v>
      </c>
      <c r="BL46" s="2">
        <v>0</v>
      </c>
      <c r="BM46" s="2">
        <v>0</v>
      </c>
      <c r="BN46" s="2">
        <v>0</v>
      </c>
      <c r="BO46" s="2">
        <v>0</v>
      </c>
      <c r="BP46" s="2">
        <v>1</v>
      </c>
      <c r="BQ46" s="2">
        <v>0</v>
      </c>
      <c r="BR46" s="2">
        <v>0</v>
      </c>
      <c r="BS46" s="2">
        <v>0</v>
      </c>
      <c r="BT46" s="2">
        <v>0</v>
      </c>
      <c r="BU46" s="2">
        <v>0</v>
      </c>
      <c r="BV46" s="2">
        <v>0</v>
      </c>
      <c r="BW46" s="2">
        <v>0</v>
      </c>
      <c r="BX46" s="2">
        <v>0</v>
      </c>
      <c r="BY46" s="2">
        <v>0</v>
      </c>
      <c r="BZ46" s="2">
        <v>0</v>
      </c>
      <c r="CA46" s="2">
        <v>0</v>
      </c>
      <c r="CB46" s="2">
        <v>0</v>
      </c>
      <c r="CC46" s="2">
        <v>0</v>
      </c>
      <c r="CD46" s="2">
        <v>0</v>
      </c>
      <c r="CE46" s="2">
        <v>0</v>
      </c>
      <c r="CF46" s="2">
        <v>0</v>
      </c>
      <c r="CG46" s="2">
        <v>0</v>
      </c>
      <c r="CH46" s="2">
        <v>0</v>
      </c>
      <c r="CI46" s="2">
        <v>0</v>
      </c>
      <c r="CJ46" s="2">
        <v>0</v>
      </c>
      <c r="CK46" s="2">
        <v>0</v>
      </c>
      <c r="CL46" s="2">
        <v>0</v>
      </c>
      <c r="CM46" s="2">
        <v>0</v>
      </c>
      <c r="CN46" s="2">
        <v>0</v>
      </c>
      <c r="CO46" s="2">
        <v>0</v>
      </c>
      <c r="CP46" s="2">
        <v>0</v>
      </c>
      <c r="CQ46" s="2">
        <v>0</v>
      </c>
      <c r="CR46" s="2">
        <v>0</v>
      </c>
      <c r="CS46" s="2">
        <v>0</v>
      </c>
      <c r="CT46" s="2">
        <v>0</v>
      </c>
      <c r="CU46" s="2">
        <v>0</v>
      </c>
      <c r="CV46" s="2">
        <v>0</v>
      </c>
      <c r="CW46" s="2">
        <v>0</v>
      </c>
      <c r="CX46" s="2">
        <v>0</v>
      </c>
      <c r="CY46" s="2">
        <v>0</v>
      </c>
      <c r="CZ46" s="2">
        <v>0</v>
      </c>
      <c r="DA46" s="2">
        <v>0</v>
      </c>
      <c r="DB46" s="2">
        <v>0</v>
      </c>
      <c r="DC46" s="2">
        <v>0</v>
      </c>
      <c r="DD46" s="2">
        <v>0</v>
      </c>
      <c r="DE46" s="2">
        <f t="shared" si="3"/>
        <v>675</v>
      </c>
      <c r="DF46" s="2">
        <v>0</v>
      </c>
    </row>
    <row r="47" spans="1:110" ht="51" x14ac:dyDescent="0.2">
      <c r="A47" s="2" t="s">
        <v>0</v>
      </c>
      <c r="B47" s="2" t="s">
        <v>8</v>
      </c>
      <c r="C47" s="2" t="s">
        <v>237</v>
      </c>
      <c r="D47" s="2" t="s">
        <v>58</v>
      </c>
      <c r="E47" s="2" t="str">
        <f t="shared" si="1"/>
        <v>Schnittholz Latten Laubholz gehobelt, kammergetrocknet, (u=10%) - CH</v>
      </c>
      <c r="F47" s="2" t="s">
        <v>88</v>
      </c>
      <c r="G47" s="2">
        <f>HLOOKUP($H47,'LCIA Daten manuell'!$A$1:$CU$3,3,FALSE)/1000</f>
        <v>0.67500000000000004</v>
      </c>
      <c r="H47" s="2" t="str">
        <f t="shared" si="8"/>
        <v>sawnwood, lath, hardwood, dried (u=10%), planed, at sawmill - CH</v>
      </c>
      <c r="I47" s="36">
        <f>(1.29+0.228)*J47</f>
        <v>1.8366282000000003</v>
      </c>
      <c r="J47" s="36">
        <f>1.09*K47</f>
        <v>1.2099000000000002</v>
      </c>
      <c r="K47" s="36">
        <v>1.1100000000000001</v>
      </c>
      <c r="L47" s="2">
        <f>-1.29*HLOOKUP("m3 Stufe1/m3 Produkt",$I$2:$K$103,ROW()-1,FALSE)</f>
        <v>-1.5607710000000004</v>
      </c>
      <c r="M47" s="2">
        <f>-0.228*HLOOKUP("m3 Stufe1/m3 Produkt",$I$2:$K$103,ROW()-1,FALSE)</f>
        <v>-0.27585720000000008</v>
      </c>
      <c r="N47" s="2">
        <v>0</v>
      </c>
      <c r="O47" s="2">
        <v>0</v>
      </c>
      <c r="P47" s="2">
        <v>0</v>
      </c>
      <c r="Q47" s="2">
        <f>-68.19*HLOOKUP("m3 Stufe1/m3 Produkt",$I$2:$K$103,ROW()-1,FALSE)</f>
        <v>-82.503081000000009</v>
      </c>
      <c r="R47" s="2">
        <v>0</v>
      </c>
      <c r="S47" s="2">
        <v>0</v>
      </c>
      <c r="T47" s="2">
        <v>0</v>
      </c>
      <c r="U47" s="2">
        <v>0</v>
      </c>
      <c r="V47" s="2">
        <v>0</v>
      </c>
      <c r="W47" s="2">
        <v>0</v>
      </c>
      <c r="X47" s="2">
        <v>0</v>
      </c>
      <c r="Y47" s="2">
        <v>0</v>
      </c>
      <c r="Z47" s="2">
        <v>0</v>
      </c>
      <c r="AA47" s="2">
        <v>0</v>
      </c>
      <c r="AB47" s="2">
        <v>0</v>
      </c>
      <c r="AC47" s="2">
        <v>0</v>
      </c>
      <c r="AD47" s="2">
        <v>0</v>
      </c>
      <c r="AE47" s="2">
        <v>0</v>
      </c>
      <c r="AF47" s="2">
        <v>0</v>
      </c>
      <c r="AG47" s="2">
        <v>0</v>
      </c>
      <c r="AH47" s="2">
        <v>0</v>
      </c>
      <c r="AI47" s="2">
        <v>0</v>
      </c>
      <c r="AJ47" s="2">
        <v>0</v>
      </c>
      <c r="AK47" s="2">
        <v>0</v>
      </c>
      <c r="AL47" s="2">
        <v>0</v>
      </c>
      <c r="AM47" s="2">
        <v>0</v>
      </c>
      <c r="AN47" s="37">
        <v>0</v>
      </c>
      <c r="AO47" s="2">
        <v>0</v>
      </c>
      <c r="AP47" s="2">
        <v>0</v>
      </c>
      <c r="AQ47" s="2">
        <v>0</v>
      </c>
      <c r="AR47" s="2">
        <v>0</v>
      </c>
      <c r="AS47" s="2">
        <v>0</v>
      </c>
      <c r="AT47" s="2">
        <v>0</v>
      </c>
      <c r="AU47" s="2">
        <v>0</v>
      </c>
      <c r="AV47" s="2">
        <v>0</v>
      </c>
      <c r="AW47" s="2">
        <v>0</v>
      </c>
      <c r="AX47" s="2">
        <v>0</v>
      </c>
      <c r="AY47" s="2">
        <v>0</v>
      </c>
      <c r="AZ47" s="2">
        <v>0</v>
      </c>
      <c r="BA47" s="2">
        <v>0</v>
      </c>
      <c r="BB47" s="2">
        <v>0</v>
      </c>
      <c r="BC47" s="2">
        <v>0</v>
      </c>
      <c r="BD47" s="2">
        <v>0</v>
      </c>
      <c r="BE47" s="2">
        <v>0</v>
      </c>
      <c r="BF47" s="2">
        <v>0</v>
      </c>
      <c r="BG47" s="2">
        <v>0</v>
      </c>
      <c r="BH47" s="2">
        <v>0</v>
      </c>
      <c r="BI47" s="2">
        <v>0</v>
      </c>
      <c r="BJ47" s="2">
        <v>0</v>
      </c>
      <c r="BK47" s="2">
        <v>0</v>
      </c>
      <c r="BL47" s="2">
        <v>1</v>
      </c>
      <c r="BM47" s="2">
        <v>0</v>
      </c>
      <c r="BN47" s="2">
        <v>0</v>
      </c>
      <c r="BO47" s="2">
        <v>0</v>
      </c>
      <c r="BP47" s="2">
        <v>0</v>
      </c>
      <c r="BQ47" s="2">
        <v>0</v>
      </c>
      <c r="BR47" s="2">
        <v>0</v>
      </c>
      <c r="BS47" s="2">
        <v>0</v>
      </c>
      <c r="BT47" s="2">
        <v>0</v>
      </c>
      <c r="BU47" s="2">
        <v>0</v>
      </c>
      <c r="BV47" s="2">
        <v>0</v>
      </c>
      <c r="BW47" s="2">
        <v>0</v>
      </c>
      <c r="BX47" s="2">
        <v>0</v>
      </c>
      <c r="BY47" s="2">
        <v>0</v>
      </c>
      <c r="BZ47" s="2">
        <v>0</v>
      </c>
      <c r="CA47" s="2">
        <v>0</v>
      </c>
      <c r="CB47" s="2">
        <v>0</v>
      </c>
      <c r="CC47" s="2">
        <v>0</v>
      </c>
      <c r="CD47" s="2">
        <v>0</v>
      </c>
      <c r="CE47" s="2">
        <v>0</v>
      </c>
      <c r="CF47" s="2">
        <v>0</v>
      </c>
      <c r="CG47" s="2">
        <v>0</v>
      </c>
      <c r="CH47" s="2">
        <v>0</v>
      </c>
      <c r="CI47" s="2">
        <v>0</v>
      </c>
      <c r="CJ47" s="2">
        <v>0</v>
      </c>
      <c r="CK47" s="2">
        <v>0</v>
      </c>
      <c r="CL47" s="2">
        <v>0</v>
      </c>
      <c r="CM47" s="2">
        <v>0</v>
      </c>
      <c r="CN47" s="2">
        <v>0</v>
      </c>
      <c r="CO47" s="2">
        <v>0</v>
      </c>
      <c r="CP47" s="2">
        <v>0</v>
      </c>
      <c r="CQ47" s="2">
        <v>0</v>
      </c>
      <c r="CR47" s="2">
        <v>0</v>
      </c>
      <c r="CS47" s="2">
        <v>0</v>
      </c>
      <c r="CT47" s="2">
        <v>0</v>
      </c>
      <c r="CU47" s="2">
        <v>0</v>
      </c>
      <c r="CV47" s="2">
        <v>0</v>
      </c>
      <c r="CW47" s="2">
        <v>0</v>
      </c>
      <c r="CX47" s="2">
        <v>0</v>
      </c>
      <c r="CY47" s="2">
        <v>0</v>
      </c>
      <c r="CZ47" s="2">
        <v>0</v>
      </c>
      <c r="DA47" s="2">
        <v>0</v>
      </c>
      <c r="DB47" s="2">
        <v>0</v>
      </c>
      <c r="DC47" s="2">
        <v>0</v>
      </c>
      <c r="DD47" s="2">
        <v>0</v>
      </c>
      <c r="DE47" s="2">
        <f t="shared" si="3"/>
        <v>675</v>
      </c>
      <c r="DF47" s="2">
        <v>0</v>
      </c>
    </row>
    <row r="48" spans="1:110" ht="34" x14ac:dyDescent="0.2">
      <c r="A48" s="2" t="s">
        <v>0</v>
      </c>
      <c r="B48" s="2" t="s">
        <v>8</v>
      </c>
      <c r="C48" s="2" t="s">
        <v>238</v>
      </c>
      <c r="D48" s="2" t="s">
        <v>58</v>
      </c>
      <c r="E48" s="2" t="str">
        <f t="shared" si="1"/>
        <v>Schnittholz Latten Laubholz gehobelt, getrocknet, (u=20%) - CH</v>
      </c>
      <c r="F48" s="2" t="s">
        <v>88</v>
      </c>
      <c r="G48" s="2">
        <f>HLOOKUP($H48,'LCIA Daten manuell'!$A$1:$CU$3,3,FALSE)/1000</f>
        <v>0.70499999999999996</v>
      </c>
      <c r="H48" s="2" t="str">
        <f t="shared" si="8"/>
        <v>sawnwood, lath, hardwood, dried (u=20%), planed, at sawmill - CH</v>
      </c>
      <c r="I48" s="36">
        <f>(1.29+0.228)*J48</f>
        <v>1.7460643200000003</v>
      </c>
      <c r="J48" s="36">
        <f>1.04*K48</f>
        <v>1.1502400000000002</v>
      </c>
      <c r="K48" s="36">
        <f>0.22+0.886</f>
        <v>1.1060000000000001</v>
      </c>
      <c r="L48" s="2">
        <f>-1.29*HLOOKUP("m3 Stufe1/m3 Produkt",$I$2:$K$103,ROW()-1,FALSE)</f>
        <v>-1.4838096000000003</v>
      </c>
      <c r="M48" s="2">
        <f>-0.228*HLOOKUP("m3 Stufe1/m3 Produkt",$I$2:$K$103,ROW()-1,FALSE)</f>
        <v>-0.26225472000000005</v>
      </c>
      <c r="N48" s="2">
        <v>0</v>
      </c>
      <c r="O48" s="2">
        <v>0</v>
      </c>
      <c r="P48" s="2">
        <v>0</v>
      </c>
      <c r="Q48" s="2">
        <v>0</v>
      </c>
      <c r="R48" s="2">
        <v>0</v>
      </c>
      <c r="S48" s="2">
        <v>0</v>
      </c>
      <c r="T48" s="2">
        <v>0</v>
      </c>
      <c r="U48" s="2">
        <v>0</v>
      </c>
      <c r="V48" s="2">
        <v>0</v>
      </c>
      <c r="W48" s="2">
        <v>0</v>
      </c>
      <c r="X48" s="2">
        <v>0</v>
      </c>
      <c r="Y48" s="2">
        <v>0</v>
      </c>
      <c r="Z48" s="2">
        <v>0</v>
      </c>
      <c r="AA48" s="2">
        <v>0</v>
      </c>
      <c r="AB48" s="2">
        <v>0</v>
      </c>
      <c r="AC48" s="2">
        <v>0</v>
      </c>
      <c r="AD48" s="2">
        <v>0</v>
      </c>
      <c r="AE48" s="2">
        <v>0</v>
      </c>
      <c r="AF48" s="2">
        <v>0</v>
      </c>
      <c r="AG48" s="2">
        <v>0</v>
      </c>
      <c r="AH48" s="2">
        <v>0</v>
      </c>
      <c r="AI48" s="2">
        <v>0</v>
      </c>
      <c r="AJ48" s="2">
        <v>0</v>
      </c>
      <c r="AK48" s="2">
        <v>0</v>
      </c>
      <c r="AL48" s="2">
        <v>0</v>
      </c>
      <c r="AM48" s="2">
        <v>0</v>
      </c>
      <c r="AN48" s="37">
        <v>0</v>
      </c>
      <c r="AO48" s="2">
        <v>0</v>
      </c>
      <c r="AP48" s="2">
        <v>0</v>
      </c>
      <c r="AQ48" s="2">
        <v>0</v>
      </c>
      <c r="AR48" s="2">
        <v>0</v>
      </c>
      <c r="AS48" s="2">
        <v>0</v>
      </c>
      <c r="AT48" s="2">
        <v>0</v>
      </c>
      <c r="AU48" s="2">
        <v>0</v>
      </c>
      <c r="AV48" s="2">
        <v>0</v>
      </c>
      <c r="AW48" s="2">
        <v>0</v>
      </c>
      <c r="AX48" s="2">
        <v>0</v>
      </c>
      <c r="AY48" s="2">
        <v>0</v>
      </c>
      <c r="AZ48" s="2">
        <v>0</v>
      </c>
      <c r="BA48" s="2">
        <v>0</v>
      </c>
      <c r="BB48" s="2">
        <v>0</v>
      </c>
      <c r="BC48" s="2">
        <v>0</v>
      </c>
      <c r="BD48" s="2">
        <v>0</v>
      </c>
      <c r="BE48" s="2">
        <v>0</v>
      </c>
      <c r="BF48" s="2">
        <v>0</v>
      </c>
      <c r="BG48" s="2">
        <v>0</v>
      </c>
      <c r="BH48" s="2">
        <v>0</v>
      </c>
      <c r="BI48" s="2">
        <v>0</v>
      </c>
      <c r="BJ48" s="2">
        <v>0</v>
      </c>
      <c r="BK48" s="2">
        <v>0</v>
      </c>
      <c r="BL48" s="2">
        <v>0</v>
      </c>
      <c r="BM48" s="2">
        <v>1</v>
      </c>
      <c r="BN48" s="2">
        <v>0</v>
      </c>
      <c r="BO48" s="2">
        <v>0</v>
      </c>
      <c r="BP48" s="2">
        <v>0</v>
      </c>
      <c r="BQ48" s="2">
        <v>0</v>
      </c>
      <c r="BR48" s="2">
        <v>0</v>
      </c>
      <c r="BS48" s="2">
        <v>0</v>
      </c>
      <c r="BT48" s="2">
        <v>0</v>
      </c>
      <c r="BU48" s="2">
        <v>0</v>
      </c>
      <c r="BV48" s="2">
        <v>0</v>
      </c>
      <c r="BW48" s="2">
        <v>0</v>
      </c>
      <c r="BX48" s="2">
        <v>0</v>
      </c>
      <c r="BY48" s="2">
        <v>0</v>
      </c>
      <c r="BZ48" s="2">
        <v>0</v>
      </c>
      <c r="CA48" s="2">
        <v>0</v>
      </c>
      <c r="CB48" s="2">
        <v>0</v>
      </c>
      <c r="CC48" s="2">
        <v>0</v>
      </c>
      <c r="CD48" s="2">
        <v>0</v>
      </c>
      <c r="CE48" s="2">
        <v>0</v>
      </c>
      <c r="CF48" s="2">
        <v>0</v>
      </c>
      <c r="CG48" s="2">
        <v>0</v>
      </c>
      <c r="CH48" s="2">
        <v>0</v>
      </c>
      <c r="CI48" s="2">
        <v>0</v>
      </c>
      <c r="CJ48" s="2">
        <v>0</v>
      </c>
      <c r="CK48" s="2">
        <v>0</v>
      </c>
      <c r="CL48" s="2">
        <v>0</v>
      </c>
      <c r="CM48" s="2">
        <v>0</v>
      </c>
      <c r="CN48" s="2">
        <v>0</v>
      </c>
      <c r="CO48" s="2">
        <v>0</v>
      </c>
      <c r="CP48" s="2">
        <v>0</v>
      </c>
      <c r="CQ48" s="2">
        <v>0</v>
      </c>
      <c r="CR48" s="2">
        <v>0</v>
      </c>
      <c r="CS48" s="2">
        <v>0</v>
      </c>
      <c r="CT48" s="2">
        <v>0</v>
      </c>
      <c r="CU48" s="2">
        <v>0</v>
      </c>
      <c r="CV48" s="2">
        <v>0</v>
      </c>
      <c r="CW48" s="2">
        <v>0</v>
      </c>
      <c r="CX48" s="2">
        <v>0</v>
      </c>
      <c r="CY48" s="2">
        <v>0</v>
      </c>
      <c r="CZ48" s="2">
        <v>0</v>
      </c>
      <c r="DA48" s="2">
        <v>0</v>
      </c>
      <c r="DB48" s="2">
        <v>0</v>
      </c>
      <c r="DC48" s="2">
        <v>0</v>
      </c>
      <c r="DD48" s="2">
        <v>0</v>
      </c>
      <c r="DE48" s="2">
        <f t="shared" si="3"/>
        <v>705</v>
      </c>
      <c r="DF48" s="2">
        <v>0</v>
      </c>
    </row>
    <row r="49" spans="1:110" ht="51" x14ac:dyDescent="0.2">
      <c r="A49" s="2" t="s">
        <v>0</v>
      </c>
      <c r="B49" s="2" t="s">
        <v>8</v>
      </c>
      <c r="C49" s="2" t="s">
        <v>234</v>
      </c>
      <c r="D49" s="2" t="s">
        <v>59</v>
      </c>
      <c r="E49" s="2" t="str">
        <f t="shared" si="1"/>
        <v>Schnittholz Latten Laubholz sägerau, luftgetrocknet (u=20%) - RER</v>
      </c>
      <c r="F49" s="2" t="s">
        <v>88</v>
      </c>
      <c r="G49" s="2">
        <f>HLOOKUP($H49,'LCIA Daten manuell'!$A$1:$CU$3,3,FALSE)/1000</f>
        <v>0.70499999999999996</v>
      </c>
      <c r="H49" s="2" t="str">
        <f t="shared" si="8"/>
        <v>sawnwood, lath, hardwood, raw, air dried (u=20%), at sawmill - RER</v>
      </c>
      <c r="I49" s="36">
        <f>1.52*J49</f>
        <v>1.5808</v>
      </c>
      <c r="J49" s="36">
        <f>1.04*K49</f>
        <v>1.04</v>
      </c>
      <c r="K49" s="36">
        <v>1</v>
      </c>
      <c r="L49" s="2">
        <v>0</v>
      </c>
      <c r="M49" s="2">
        <f>-HLOOKUP("m3 Rundholz/m3 Produkt",$I$2:$K$103,ROW()-1,FALSE)</f>
        <v>-1.5808</v>
      </c>
      <c r="N49" s="2">
        <v>0</v>
      </c>
      <c r="O49" s="2">
        <v>0</v>
      </c>
      <c r="P49" s="2">
        <f>-68.19*HLOOKUP("m3 Stufe1/m3 Produkt",$I$2:$K$103,ROW()-1,FALSE)</f>
        <v>-70.917599999999993</v>
      </c>
      <c r="Q49" s="2">
        <v>0</v>
      </c>
      <c r="R49" s="2">
        <v>0</v>
      </c>
      <c r="S49" s="2">
        <v>0</v>
      </c>
      <c r="T49" s="2">
        <v>0</v>
      </c>
      <c r="U49" s="2">
        <v>0</v>
      </c>
      <c r="V49" s="2">
        <v>0</v>
      </c>
      <c r="W49" s="2">
        <v>0</v>
      </c>
      <c r="X49" s="2">
        <v>0</v>
      </c>
      <c r="Y49" s="2">
        <v>0</v>
      </c>
      <c r="Z49" s="2">
        <v>0</v>
      </c>
      <c r="AA49" s="2">
        <v>0</v>
      </c>
      <c r="AB49" s="2">
        <v>0</v>
      </c>
      <c r="AC49" s="2">
        <v>0</v>
      </c>
      <c r="AD49" s="2">
        <v>0</v>
      </c>
      <c r="AE49" s="2">
        <v>0</v>
      </c>
      <c r="AF49" s="2">
        <v>0</v>
      </c>
      <c r="AG49" s="2">
        <v>0</v>
      </c>
      <c r="AH49" s="2">
        <v>0</v>
      </c>
      <c r="AI49" s="2">
        <v>0</v>
      </c>
      <c r="AJ49" s="2">
        <v>0</v>
      </c>
      <c r="AK49" s="2">
        <v>0</v>
      </c>
      <c r="AL49" s="2">
        <v>0</v>
      </c>
      <c r="AM49" s="2">
        <v>0</v>
      </c>
      <c r="AN49" s="37">
        <v>0</v>
      </c>
      <c r="AO49" s="2">
        <v>0</v>
      </c>
      <c r="AP49" s="2">
        <v>0</v>
      </c>
      <c r="AQ49" s="2">
        <v>0</v>
      </c>
      <c r="AR49" s="2">
        <v>0</v>
      </c>
      <c r="AS49" s="2">
        <v>0</v>
      </c>
      <c r="AT49" s="2">
        <v>0</v>
      </c>
      <c r="AU49" s="2">
        <v>0</v>
      </c>
      <c r="AV49" s="2">
        <v>0</v>
      </c>
      <c r="AW49" s="2">
        <v>0</v>
      </c>
      <c r="AX49" s="2">
        <v>0</v>
      </c>
      <c r="AY49" s="2">
        <v>0</v>
      </c>
      <c r="AZ49" s="2">
        <v>0</v>
      </c>
      <c r="BA49" s="2">
        <v>0</v>
      </c>
      <c r="BB49" s="2">
        <v>0</v>
      </c>
      <c r="BC49" s="2">
        <v>0</v>
      </c>
      <c r="BD49" s="2">
        <v>0</v>
      </c>
      <c r="BE49" s="2">
        <v>0</v>
      </c>
      <c r="BF49" s="2">
        <v>0</v>
      </c>
      <c r="BG49" s="2">
        <v>0</v>
      </c>
      <c r="BH49" s="2">
        <v>0</v>
      </c>
      <c r="BI49" s="2">
        <v>0</v>
      </c>
      <c r="BJ49" s="2">
        <v>0</v>
      </c>
      <c r="BK49" s="2">
        <v>0</v>
      </c>
      <c r="BL49" s="2">
        <v>0</v>
      </c>
      <c r="BM49" s="2">
        <v>0</v>
      </c>
      <c r="BN49" s="2">
        <v>0</v>
      </c>
      <c r="BO49" s="2">
        <v>1</v>
      </c>
      <c r="BP49" s="2">
        <v>0</v>
      </c>
      <c r="BQ49" s="2">
        <v>0</v>
      </c>
      <c r="BR49" s="2">
        <v>0</v>
      </c>
      <c r="BS49" s="2">
        <v>0</v>
      </c>
      <c r="BT49" s="2">
        <v>0</v>
      </c>
      <c r="BU49" s="2">
        <v>0</v>
      </c>
      <c r="BV49" s="2">
        <v>0</v>
      </c>
      <c r="BW49" s="2">
        <v>0</v>
      </c>
      <c r="BX49" s="2">
        <v>0</v>
      </c>
      <c r="BY49" s="2">
        <v>0</v>
      </c>
      <c r="BZ49" s="2">
        <v>0</v>
      </c>
      <c r="CA49" s="2">
        <v>0</v>
      </c>
      <c r="CB49" s="2">
        <v>0</v>
      </c>
      <c r="CC49" s="2">
        <v>0</v>
      </c>
      <c r="CD49" s="2">
        <v>0</v>
      </c>
      <c r="CE49" s="2">
        <v>0</v>
      </c>
      <c r="CF49" s="2">
        <v>0</v>
      </c>
      <c r="CG49" s="2">
        <v>0</v>
      </c>
      <c r="CH49" s="2">
        <v>0</v>
      </c>
      <c r="CI49" s="2">
        <v>0</v>
      </c>
      <c r="CJ49" s="2">
        <v>0</v>
      </c>
      <c r="CK49" s="2">
        <v>0</v>
      </c>
      <c r="CL49" s="2">
        <v>0</v>
      </c>
      <c r="CM49" s="2">
        <v>0</v>
      </c>
      <c r="CN49" s="2">
        <v>0</v>
      </c>
      <c r="CO49" s="2">
        <v>0</v>
      </c>
      <c r="CP49" s="2">
        <v>0</v>
      </c>
      <c r="CQ49" s="2">
        <v>0</v>
      </c>
      <c r="CR49" s="2">
        <v>0</v>
      </c>
      <c r="CS49" s="2">
        <v>0</v>
      </c>
      <c r="CT49" s="2">
        <v>0</v>
      </c>
      <c r="CU49" s="2">
        <v>0</v>
      </c>
      <c r="CV49" s="2">
        <v>0</v>
      </c>
      <c r="CW49" s="2">
        <v>0</v>
      </c>
      <c r="CX49" s="2">
        <v>0</v>
      </c>
      <c r="CY49" s="2">
        <v>0</v>
      </c>
      <c r="CZ49" s="2">
        <v>0</v>
      </c>
      <c r="DA49" s="2">
        <v>0</v>
      </c>
      <c r="DB49" s="2">
        <v>0</v>
      </c>
      <c r="DC49" s="2">
        <v>0</v>
      </c>
      <c r="DD49" s="2">
        <v>0</v>
      </c>
      <c r="DE49" s="2">
        <f t="shared" si="3"/>
        <v>705</v>
      </c>
      <c r="DF49" s="2">
        <v>0</v>
      </c>
    </row>
    <row r="50" spans="1:110" ht="51" x14ac:dyDescent="0.2">
      <c r="A50" s="2" t="s">
        <v>0</v>
      </c>
      <c r="B50" s="2" t="s">
        <v>8</v>
      </c>
      <c r="C50" s="2" t="s">
        <v>235</v>
      </c>
      <c r="D50" s="2" t="s">
        <v>59</v>
      </c>
      <c r="E50" s="2" t="str">
        <f t="shared" si="1"/>
        <v>Schnittholz Latten Laubholz sägerau, kammergetrocknet (u=20%) - RER</v>
      </c>
      <c r="F50" s="2" t="s">
        <v>88</v>
      </c>
      <c r="G50" s="2">
        <f>HLOOKUP($H50,'LCIA Daten manuell'!$A$1:$CU$3,3,FALSE)/1000</f>
        <v>0.70499999999999996</v>
      </c>
      <c r="H50" s="2" t="str">
        <f t="shared" si="8"/>
        <v>sawnwood, lath, hardwood, raw, kiln dried (u=20%), at sawmill - RER</v>
      </c>
      <c r="I50" s="36">
        <f>1.52*J50</f>
        <v>1.5808</v>
      </c>
      <c r="J50" s="36">
        <f>1.04*K50</f>
        <v>1.04</v>
      </c>
      <c r="K50" s="36">
        <v>1</v>
      </c>
      <c r="L50" s="2">
        <v>0</v>
      </c>
      <c r="M50" s="2">
        <f>-HLOOKUP("m3 Rundholz/m3 Produkt",$I$2:$K$103,ROW()-1,FALSE)</f>
        <v>-1.5808</v>
      </c>
      <c r="N50" s="2">
        <v>0</v>
      </c>
      <c r="O50" s="2">
        <v>0</v>
      </c>
      <c r="P50" s="2">
        <f>-68.19*HLOOKUP("m3 Stufe1/m3 Produkt",$I$2:$K$103,ROW()-1,FALSE)</f>
        <v>-70.917599999999993</v>
      </c>
      <c r="Q50" s="2">
        <v>0</v>
      </c>
      <c r="R50" s="2">
        <v>0</v>
      </c>
      <c r="S50" s="2">
        <v>0</v>
      </c>
      <c r="T50" s="2">
        <v>0</v>
      </c>
      <c r="U50" s="2">
        <v>0</v>
      </c>
      <c r="V50" s="2">
        <v>0</v>
      </c>
      <c r="W50" s="2">
        <v>0</v>
      </c>
      <c r="X50" s="2">
        <v>0</v>
      </c>
      <c r="Y50" s="2">
        <v>0</v>
      </c>
      <c r="Z50" s="2">
        <v>0</v>
      </c>
      <c r="AA50" s="2">
        <v>0</v>
      </c>
      <c r="AB50" s="2">
        <v>0</v>
      </c>
      <c r="AC50" s="2">
        <v>0</v>
      </c>
      <c r="AD50" s="2">
        <v>0</v>
      </c>
      <c r="AE50" s="2">
        <v>0</v>
      </c>
      <c r="AF50" s="2">
        <v>0</v>
      </c>
      <c r="AG50" s="2">
        <v>0</v>
      </c>
      <c r="AH50" s="2">
        <v>0</v>
      </c>
      <c r="AI50" s="2">
        <v>0</v>
      </c>
      <c r="AJ50" s="2">
        <v>0</v>
      </c>
      <c r="AK50" s="2">
        <v>0</v>
      </c>
      <c r="AL50" s="2">
        <v>0</v>
      </c>
      <c r="AM50" s="2">
        <v>0</v>
      </c>
      <c r="AN50" s="37">
        <v>0</v>
      </c>
      <c r="AO50" s="2">
        <v>0</v>
      </c>
      <c r="AP50" s="2">
        <v>0</v>
      </c>
      <c r="AQ50" s="2">
        <v>0</v>
      </c>
      <c r="AR50" s="2">
        <v>0</v>
      </c>
      <c r="AS50" s="2">
        <v>0</v>
      </c>
      <c r="AT50" s="2">
        <v>0</v>
      </c>
      <c r="AU50" s="2">
        <v>0</v>
      </c>
      <c r="AV50" s="2">
        <v>0</v>
      </c>
      <c r="AW50" s="2">
        <v>0</v>
      </c>
      <c r="AX50" s="2">
        <v>0</v>
      </c>
      <c r="AY50" s="2">
        <v>0</v>
      </c>
      <c r="AZ50" s="2">
        <v>0</v>
      </c>
      <c r="BA50" s="2">
        <v>0</v>
      </c>
      <c r="BB50" s="2">
        <v>0</v>
      </c>
      <c r="BC50" s="2">
        <v>0</v>
      </c>
      <c r="BD50" s="2">
        <v>0</v>
      </c>
      <c r="BE50" s="2">
        <v>0</v>
      </c>
      <c r="BF50" s="2">
        <v>0</v>
      </c>
      <c r="BG50" s="2">
        <v>0</v>
      </c>
      <c r="BH50" s="2">
        <v>0</v>
      </c>
      <c r="BI50" s="2">
        <v>0</v>
      </c>
      <c r="BJ50" s="2">
        <v>0</v>
      </c>
      <c r="BK50" s="2">
        <v>0</v>
      </c>
      <c r="BL50" s="2">
        <v>0</v>
      </c>
      <c r="BM50" s="2">
        <v>0</v>
      </c>
      <c r="BN50" s="2">
        <v>0</v>
      </c>
      <c r="BO50" s="2">
        <v>0</v>
      </c>
      <c r="BP50" s="2">
        <v>0</v>
      </c>
      <c r="BQ50" s="2">
        <v>0</v>
      </c>
      <c r="BR50" s="2">
        <v>0</v>
      </c>
      <c r="BS50" s="2">
        <v>0</v>
      </c>
      <c r="BU50" s="2">
        <v>1</v>
      </c>
      <c r="BV50" s="2">
        <v>0</v>
      </c>
      <c r="BW50" s="2">
        <v>0</v>
      </c>
      <c r="BX50" s="2">
        <v>0</v>
      </c>
      <c r="BY50" s="2">
        <v>0</v>
      </c>
      <c r="BZ50" s="2">
        <v>0</v>
      </c>
      <c r="CA50" s="2">
        <v>0</v>
      </c>
      <c r="CB50" s="2">
        <v>0</v>
      </c>
      <c r="CC50" s="2">
        <v>0</v>
      </c>
      <c r="CD50" s="2">
        <v>0</v>
      </c>
      <c r="CE50" s="2">
        <v>0</v>
      </c>
      <c r="CF50" s="2">
        <v>0</v>
      </c>
      <c r="CG50" s="2">
        <v>0</v>
      </c>
      <c r="CH50" s="2">
        <v>0</v>
      </c>
      <c r="CI50" s="2">
        <v>0</v>
      </c>
      <c r="CJ50" s="2">
        <v>0</v>
      </c>
      <c r="CK50" s="2">
        <v>0</v>
      </c>
      <c r="CL50" s="2">
        <v>0</v>
      </c>
      <c r="CM50" s="2">
        <v>0</v>
      </c>
      <c r="CN50" s="2">
        <v>0</v>
      </c>
      <c r="CO50" s="2">
        <v>0</v>
      </c>
      <c r="CP50" s="2">
        <v>0</v>
      </c>
      <c r="CQ50" s="2">
        <v>0</v>
      </c>
      <c r="CR50" s="2">
        <v>0</v>
      </c>
      <c r="CS50" s="2">
        <v>0</v>
      </c>
      <c r="CT50" s="2">
        <v>0</v>
      </c>
      <c r="CU50" s="2">
        <v>0</v>
      </c>
      <c r="CV50" s="2">
        <v>0</v>
      </c>
      <c r="CW50" s="2">
        <v>0</v>
      </c>
      <c r="CX50" s="2">
        <v>0</v>
      </c>
      <c r="CY50" s="2">
        <v>0</v>
      </c>
      <c r="CZ50" s="2">
        <v>0</v>
      </c>
      <c r="DA50" s="2">
        <v>0</v>
      </c>
      <c r="DB50" s="2">
        <v>0</v>
      </c>
      <c r="DC50" s="2">
        <v>0</v>
      </c>
      <c r="DD50" s="2">
        <v>0</v>
      </c>
      <c r="DE50" s="2">
        <f t="shared" si="3"/>
        <v>705</v>
      </c>
      <c r="DF50" s="2">
        <v>0</v>
      </c>
    </row>
    <row r="51" spans="1:110" ht="51" x14ac:dyDescent="0.2">
      <c r="A51" s="2" t="s">
        <v>0</v>
      </c>
      <c r="B51" s="2" t="s">
        <v>8</v>
      </c>
      <c r="C51" s="2" t="s">
        <v>236</v>
      </c>
      <c r="D51" s="2" t="s">
        <v>59</v>
      </c>
      <c r="E51" s="2" t="str">
        <f t="shared" si="1"/>
        <v>Schnittholz Latten Laubholz sägerau, kammergetrocknet (u=10%) - RER</v>
      </c>
      <c r="F51" s="2" t="s">
        <v>88</v>
      </c>
      <c r="G51" s="2">
        <f>HLOOKUP($H51,'LCIA Daten manuell'!$A$1:$CU$3,3,FALSE)/1000</f>
        <v>0.67500000000000004</v>
      </c>
      <c r="H51" s="2" t="str">
        <f t="shared" si="8"/>
        <v>sawnwood, lath, hardwood, raw, kiln dried (u=10%), at sawmill - RER</v>
      </c>
      <c r="I51" s="36">
        <f>1.52*J51</f>
        <v>1.6568000000000001</v>
      </c>
      <c r="J51" s="36">
        <f>1.09*K51</f>
        <v>1.0900000000000001</v>
      </c>
      <c r="K51" s="36">
        <v>1</v>
      </c>
      <c r="L51" s="2">
        <v>0</v>
      </c>
      <c r="M51" s="2">
        <f>-HLOOKUP("m3 Rundholz/m3 Produkt",$I$2:$K$103,ROW()-1,FALSE)</f>
        <v>-1.6568000000000001</v>
      </c>
      <c r="N51" s="2">
        <v>0</v>
      </c>
      <c r="O51" s="2">
        <v>0</v>
      </c>
      <c r="P51" s="2">
        <f>-68.19*HLOOKUP("m3 Stufe1/m3 Produkt",$I$2:$K$103,ROW()-1,FALSE)</f>
        <v>-74.327100000000002</v>
      </c>
      <c r="Q51" s="2">
        <v>0</v>
      </c>
      <c r="R51" s="2">
        <v>0</v>
      </c>
      <c r="S51" s="2">
        <v>0</v>
      </c>
      <c r="T51" s="2">
        <v>0</v>
      </c>
      <c r="U51" s="2">
        <v>0</v>
      </c>
      <c r="V51" s="2">
        <v>0</v>
      </c>
      <c r="W51" s="2">
        <v>0</v>
      </c>
      <c r="X51" s="2">
        <v>0</v>
      </c>
      <c r="Y51" s="2">
        <v>0</v>
      </c>
      <c r="Z51" s="2">
        <v>0</v>
      </c>
      <c r="AA51" s="2">
        <v>0</v>
      </c>
      <c r="AB51" s="2">
        <v>0</v>
      </c>
      <c r="AC51" s="2">
        <v>0</v>
      </c>
      <c r="AD51" s="2">
        <v>0</v>
      </c>
      <c r="AE51" s="2">
        <v>0</v>
      </c>
      <c r="AF51" s="2">
        <v>0</v>
      </c>
      <c r="AG51" s="2">
        <v>0</v>
      </c>
      <c r="AH51" s="2">
        <v>0</v>
      </c>
      <c r="AI51" s="2">
        <v>0</v>
      </c>
      <c r="AJ51" s="2">
        <v>0</v>
      </c>
      <c r="AK51" s="2">
        <v>0</v>
      </c>
      <c r="AL51" s="2">
        <v>0</v>
      </c>
      <c r="AM51" s="2">
        <v>0</v>
      </c>
      <c r="AN51" s="37">
        <v>0</v>
      </c>
      <c r="AO51" s="2">
        <v>0</v>
      </c>
      <c r="AP51" s="2">
        <v>0</v>
      </c>
      <c r="AQ51" s="2">
        <v>0</v>
      </c>
      <c r="AR51" s="2">
        <v>0</v>
      </c>
      <c r="AS51" s="2">
        <v>0</v>
      </c>
      <c r="AT51" s="2">
        <v>0</v>
      </c>
      <c r="AU51" s="2">
        <v>0</v>
      </c>
      <c r="AV51" s="2">
        <v>0</v>
      </c>
      <c r="AW51" s="2">
        <v>0</v>
      </c>
      <c r="AX51" s="2">
        <v>0</v>
      </c>
      <c r="AY51" s="2">
        <v>0</v>
      </c>
      <c r="AZ51" s="2">
        <v>0</v>
      </c>
      <c r="BA51" s="2">
        <v>0</v>
      </c>
      <c r="BB51" s="2">
        <v>0</v>
      </c>
      <c r="BC51" s="2">
        <v>0</v>
      </c>
      <c r="BD51" s="2">
        <v>0</v>
      </c>
      <c r="BE51" s="2">
        <v>0</v>
      </c>
      <c r="BF51" s="2">
        <v>0</v>
      </c>
      <c r="BG51" s="2">
        <v>0</v>
      </c>
      <c r="BH51" s="2">
        <v>0</v>
      </c>
      <c r="BI51" s="2">
        <v>0</v>
      </c>
      <c r="BJ51" s="2">
        <v>0</v>
      </c>
      <c r="BK51" s="2">
        <v>0</v>
      </c>
      <c r="BL51" s="2">
        <v>0</v>
      </c>
      <c r="BM51" s="2">
        <v>0</v>
      </c>
      <c r="BN51" s="2">
        <v>0</v>
      </c>
      <c r="BO51" s="2">
        <v>0</v>
      </c>
      <c r="BP51" s="2">
        <v>0</v>
      </c>
      <c r="BQ51" s="2">
        <v>0</v>
      </c>
      <c r="BR51" s="2">
        <v>0</v>
      </c>
      <c r="BS51" s="2">
        <v>1</v>
      </c>
      <c r="BT51" s="2">
        <v>0</v>
      </c>
      <c r="BU51" s="2">
        <v>0</v>
      </c>
      <c r="BV51" s="2">
        <v>0</v>
      </c>
      <c r="BW51" s="2">
        <v>0</v>
      </c>
      <c r="BX51" s="2">
        <v>0</v>
      </c>
      <c r="BY51" s="2">
        <v>0</v>
      </c>
      <c r="BZ51" s="2">
        <v>0</v>
      </c>
      <c r="CA51" s="2">
        <v>0</v>
      </c>
      <c r="CB51" s="2">
        <v>0</v>
      </c>
      <c r="CC51" s="2">
        <v>0</v>
      </c>
      <c r="CD51" s="2">
        <v>0</v>
      </c>
      <c r="CE51" s="2">
        <v>0</v>
      </c>
      <c r="CF51" s="2">
        <v>0</v>
      </c>
      <c r="CG51" s="2">
        <v>0</v>
      </c>
      <c r="CH51" s="2">
        <v>0</v>
      </c>
      <c r="CI51" s="2">
        <v>0</v>
      </c>
      <c r="CJ51" s="2">
        <v>0</v>
      </c>
      <c r="CK51" s="2">
        <v>0</v>
      </c>
      <c r="CL51" s="2">
        <v>0</v>
      </c>
      <c r="CM51" s="2">
        <v>0</v>
      </c>
      <c r="CN51" s="2">
        <v>0</v>
      </c>
      <c r="CO51" s="2">
        <v>0</v>
      </c>
      <c r="CP51" s="2">
        <v>0</v>
      </c>
      <c r="CQ51" s="2">
        <v>0</v>
      </c>
      <c r="CR51" s="2">
        <v>0</v>
      </c>
      <c r="CS51" s="2">
        <v>0</v>
      </c>
      <c r="CT51" s="2">
        <v>0</v>
      </c>
      <c r="CU51" s="2">
        <v>0</v>
      </c>
      <c r="CV51" s="2">
        <v>0</v>
      </c>
      <c r="CW51" s="2">
        <v>0</v>
      </c>
      <c r="CX51" s="2">
        <v>0</v>
      </c>
      <c r="CY51" s="2">
        <v>0</v>
      </c>
      <c r="CZ51" s="2">
        <v>0</v>
      </c>
      <c r="DA51" s="2">
        <v>0</v>
      </c>
      <c r="DB51" s="2">
        <v>0</v>
      </c>
      <c r="DC51" s="2">
        <v>0</v>
      </c>
      <c r="DD51" s="2">
        <v>0</v>
      </c>
      <c r="DE51" s="2">
        <f t="shared" si="3"/>
        <v>675</v>
      </c>
      <c r="DF51" s="2">
        <v>0</v>
      </c>
    </row>
    <row r="52" spans="1:110" ht="51" x14ac:dyDescent="0.2">
      <c r="A52" s="2" t="s">
        <v>0</v>
      </c>
      <c r="B52" s="2" t="s">
        <v>8</v>
      </c>
      <c r="C52" s="2" t="s">
        <v>237</v>
      </c>
      <c r="D52" s="2" t="s">
        <v>59</v>
      </c>
      <c r="E52" s="2" t="str">
        <f t="shared" si="1"/>
        <v>Schnittholz Latten Laubholz gehobelt, kammergetrocknet, (u=10%) - RER</v>
      </c>
      <c r="F52" s="2" t="s">
        <v>88</v>
      </c>
      <c r="G52" s="2">
        <f>HLOOKUP($H52,'LCIA Daten manuell'!$A$1:$CU$3,3,FALSE)/1000</f>
        <v>0.67500000000000004</v>
      </c>
      <c r="H52" s="2" t="str">
        <f t="shared" si="8"/>
        <v>sawnwood, lath, hardwood, dried (u=10%), planed, at sawmill - RER</v>
      </c>
      <c r="I52" s="36">
        <f>1.52*J52</f>
        <v>1.8390480000000002</v>
      </c>
      <c r="J52" s="36">
        <f>1.09*K52</f>
        <v>1.2099000000000002</v>
      </c>
      <c r="K52" s="36">
        <v>1.1100000000000001</v>
      </c>
      <c r="L52" s="2">
        <v>0</v>
      </c>
      <c r="M52" s="2">
        <f>-HLOOKUP("m3 Rundholz/m3 Produkt",$I$2:$K$103,ROW()-1,FALSE)</f>
        <v>-1.8390480000000002</v>
      </c>
      <c r="N52" s="2">
        <v>0</v>
      </c>
      <c r="O52" s="2">
        <v>0</v>
      </c>
      <c r="P52" s="2">
        <f>-68.19*HLOOKUP("m3 Stufe1/m3 Produkt",$I$2:$K$103,ROW()-1,FALSE)</f>
        <v>-82.503081000000009</v>
      </c>
      <c r="Q52" s="2">
        <v>0</v>
      </c>
      <c r="R52" s="2">
        <v>0</v>
      </c>
      <c r="S52" s="2">
        <v>0</v>
      </c>
      <c r="T52" s="2">
        <v>0</v>
      </c>
      <c r="U52" s="2">
        <v>0</v>
      </c>
      <c r="V52" s="2">
        <v>0</v>
      </c>
      <c r="W52" s="2">
        <v>0</v>
      </c>
      <c r="X52" s="2">
        <v>0</v>
      </c>
      <c r="Y52" s="2">
        <v>0</v>
      </c>
      <c r="Z52" s="2">
        <v>0</v>
      </c>
      <c r="AA52" s="2">
        <v>0</v>
      </c>
      <c r="AB52" s="2">
        <v>0</v>
      </c>
      <c r="AC52" s="2">
        <v>0</v>
      </c>
      <c r="AD52" s="2">
        <v>0</v>
      </c>
      <c r="AE52" s="2">
        <v>0</v>
      </c>
      <c r="AF52" s="2">
        <v>0</v>
      </c>
      <c r="AG52" s="2">
        <v>0</v>
      </c>
      <c r="AH52" s="2">
        <v>0</v>
      </c>
      <c r="AI52" s="2">
        <v>0</v>
      </c>
      <c r="AJ52" s="2">
        <v>0</v>
      </c>
      <c r="AK52" s="2">
        <v>0</v>
      </c>
      <c r="AL52" s="2">
        <v>0</v>
      </c>
      <c r="AM52" s="2">
        <v>0</v>
      </c>
      <c r="AN52" s="37">
        <v>0</v>
      </c>
      <c r="AO52" s="2">
        <v>0</v>
      </c>
      <c r="AP52" s="2">
        <v>0</v>
      </c>
      <c r="AQ52" s="2">
        <v>0</v>
      </c>
      <c r="AR52" s="2">
        <v>0</v>
      </c>
      <c r="AS52" s="2">
        <v>0</v>
      </c>
      <c r="AT52" s="2">
        <v>0</v>
      </c>
      <c r="AU52" s="2">
        <v>0</v>
      </c>
      <c r="AV52" s="2">
        <v>0</v>
      </c>
      <c r="AW52" s="2">
        <v>0</v>
      </c>
      <c r="AX52" s="2">
        <v>0</v>
      </c>
      <c r="AY52" s="2">
        <v>0</v>
      </c>
      <c r="AZ52" s="2">
        <v>0</v>
      </c>
      <c r="BA52" s="2">
        <v>0</v>
      </c>
      <c r="BB52" s="2">
        <v>0</v>
      </c>
      <c r="BC52" s="2">
        <v>0</v>
      </c>
      <c r="BD52" s="2">
        <v>0</v>
      </c>
      <c r="BE52" s="2">
        <v>0</v>
      </c>
      <c r="BF52" s="2">
        <v>0</v>
      </c>
      <c r="BG52" s="2">
        <v>0</v>
      </c>
      <c r="BH52" s="2">
        <v>0</v>
      </c>
      <c r="BI52" s="2">
        <v>0</v>
      </c>
      <c r="BJ52" s="2">
        <v>0</v>
      </c>
      <c r="BK52" s="2">
        <v>0</v>
      </c>
      <c r="BL52" s="2">
        <v>0</v>
      </c>
      <c r="BM52" s="2">
        <v>0</v>
      </c>
      <c r="BN52" s="2">
        <v>1</v>
      </c>
      <c r="BO52" s="2">
        <v>0</v>
      </c>
      <c r="BP52" s="2">
        <v>0</v>
      </c>
      <c r="BQ52" s="2">
        <v>0</v>
      </c>
      <c r="BR52" s="2">
        <v>0</v>
      </c>
      <c r="BS52" s="2">
        <v>0</v>
      </c>
      <c r="BT52" s="2">
        <v>0</v>
      </c>
      <c r="BU52" s="2">
        <v>0</v>
      </c>
      <c r="BV52" s="2">
        <v>0</v>
      </c>
      <c r="BW52" s="2">
        <v>0</v>
      </c>
      <c r="BX52" s="2">
        <v>0</v>
      </c>
      <c r="BY52" s="2">
        <v>0</v>
      </c>
      <c r="BZ52" s="2">
        <v>0</v>
      </c>
      <c r="CA52" s="2">
        <v>0</v>
      </c>
      <c r="CB52" s="2">
        <v>0</v>
      </c>
      <c r="CC52" s="2">
        <v>0</v>
      </c>
      <c r="CD52" s="2">
        <v>0</v>
      </c>
      <c r="CE52" s="2">
        <v>0</v>
      </c>
      <c r="CF52" s="2">
        <v>0</v>
      </c>
      <c r="CG52" s="2">
        <v>0</v>
      </c>
      <c r="CH52" s="2">
        <v>0</v>
      </c>
      <c r="CI52" s="2">
        <v>0</v>
      </c>
      <c r="CJ52" s="2">
        <v>0</v>
      </c>
      <c r="CK52" s="2">
        <v>0</v>
      </c>
      <c r="CL52" s="2">
        <v>0</v>
      </c>
      <c r="CM52" s="2">
        <v>0</v>
      </c>
      <c r="CN52" s="2">
        <v>0</v>
      </c>
      <c r="CO52" s="2">
        <v>0</v>
      </c>
      <c r="CP52" s="2">
        <v>0</v>
      </c>
      <c r="CQ52" s="2">
        <v>0</v>
      </c>
      <c r="CR52" s="2">
        <v>0</v>
      </c>
      <c r="CS52" s="2">
        <v>0</v>
      </c>
      <c r="CT52" s="2">
        <v>0</v>
      </c>
      <c r="CU52" s="2">
        <v>0</v>
      </c>
      <c r="CV52" s="2">
        <v>0</v>
      </c>
      <c r="CW52" s="2">
        <v>0</v>
      </c>
      <c r="CX52" s="2">
        <v>0</v>
      </c>
      <c r="CY52" s="2">
        <v>0</v>
      </c>
      <c r="CZ52" s="2">
        <v>0</v>
      </c>
      <c r="DA52" s="2">
        <v>0</v>
      </c>
      <c r="DB52" s="2">
        <v>0</v>
      </c>
      <c r="DC52" s="2">
        <v>0</v>
      </c>
      <c r="DD52" s="2">
        <v>0</v>
      </c>
      <c r="DE52" s="2">
        <f t="shared" si="3"/>
        <v>675</v>
      </c>
      <c r="DF52" s="2">
        <v>0</v>
      </c>
    </row>
    <row r="53" spans="1:110" ht="34" x14ac:dyDescent="0.2">
      <c r="A53" s="2" t="s">
        <v>0</v>
      </c>
      <c r="B53" s="2" t="s">
        <v>8</v>
      </c>
      <c r="C53" s="2" t="s">
        <v>238</v>
      </c>
      <c r="D53" s="2" t="s">
        <v>59</v>
      </c>
      <c r="E53" s="2" t="str">
        <f t="shared" si="1"/>
        <v>Schnittholz Latten Laubholz gehobelt, getrocknet, (u=20%) - RER</v>
      </c>
      <c r="F53" s="2" t="s">
        <v>88</v>
      </c>
      <c r="G53" s="2">
        <f>HLOOKUP($H53,'LCIA Daten manuell'!$A$1:$CU$3,3,FALSE)/1000</f>
        <v>0.70499999999999996</v>
      </c>
      <c r="H53" s="2" t="str">
        <f t="shared" si="8"/>
        <v>sawnwood, lath, hardwood, dried (u=20%), planed, at sawmill - RER</v>
      </c>
      <c r="I53" s="36">
        <f>1.52*J53</f>
        <v>1.7515264000000004</v>
      </c>
      <c r="J53" s="36">
        <f>1.04*K53</f>
        <v>1.1523200000000002</v>
      </c>
      <c r="K53" s="36">
        <f>0.222+0.886</f>
        <v>1.1080000000000001</v>
      </c>
      <c r="L53" s="2">
        <v>0</v>
      </c>
      <c r="M53" s="2">
        <f>-HLOOKUP("m3 Rundholz/m3 Produkt",$I$2:$K$103,ROW()-1,FALSE)</f>
        <v>-1.7515264000000004</v>
      </c>
      <c r="N53" s="2">
        <v>0</v>
      </c>
      <c r="O53" s="2">
        <v>0</v>
      </c>
      <c r="P53" s="2">
        <f>-68.19*HLOOKUP("m3 Stufe1/m3 Produkt",$I$2:$K$103,ROW()-1,FALSE)</f>
        <v>-78.576700800000012</v>
      </c>
      <c r="Q53" s="2">
        <v>0</v>
      </c>
      <c r="R53" s="2">
        <v>0</v>
      </c>
      <c r="S53" s="2">
        <v>0</v>
      </c>
      <c r="T53" s="2">
        <v>0</v>
      </c>
      <c r="U53" s="2">
        <v>0</v>
      </c>
      <c r="V53" s="2">
        <v>0</v>
      </c>
      <c r="W53" s="2">
        <v>0</v>
      </c>
      <c r="X53" s="2">
        <v>0</v>
      </c>
      <c r="Y53" s="2">
        <v>0</v>
      </c>
      <c r="Z53" s="2">
        <v>0</v>
      </c>
      <c r="AA53" s="2">
        <v>0</v>
      </c>
      <c r="AB53" s="2">
        <v>0</v>
      </c>
      <c r="AC53" s="2">
        <v>0</v>
      </c>
      <c r="AD53" s="2">
        <v>0</v>
      </c>
      <c r="AE53" s="2">
        <v>0</v>
      </c>
      <c r="AF53" s="2">
        <v>0</v>
      </c>
      <c r="AG53" s="2">
        <v>0</v>
      </c>
      <c r="AH53" s="2">
        <v>0</v>
      </c>
      <c r="AI53" s="2">
        <v>0</v>
      </c>
      <c r="AJ53" s="2">
        <v>0</v>
      </c>
      <c r="AK53" s="2">
        <v>0</v>
      </c>
      <c r="AL53" s="2">
        <v>0</v>
      </c>
      <c r="AM53" s="2">
        <v>0</v>
      </c>
      <c r="AN53" s="37">
        <v>0</v>
      </c>
      <c r="AO53" s="2">
        <v>0</v>
      </c>
      <c r="AP53" s="2">
        <v>0</v>
      </c>
      <c r="AQ53" s="2">
        <v>0</v>
      </c>
      <c r="AR53" s="2">
        <v>0</v>
      </c>
      <c r="AS53" s="2">
        <v>0</v>
      </c>
      <c r="AT53" s="2">
        <v>0</v>
      </c>
      <c r="AU53" s="2">
        <v>0</v>
      </c>
      <c r="AV53" s="2">
        <v>0</v>
      </c>
      <c r="AW53" s="2">
        <v>0</v>
      </c>
      <c r="AX53" s="2">
        <v>0</v>
      </c>
      <c r="AY53" s="2">
        <v>0</v>
      </c>
      <c r="AZ53" s="2">
        <v>0</v>
      </c>
      <c r="BA53" s="2">
        <v>0</v>
      </c>
      <c r="BB53" s="2">
        <v>0</v>
      </c>
      <c r="BC53" s="2">
        <v>0</v>
      </c>
      <c r="BD53" s="2">
        <v>0</v>
      </c>
      <c r="BE53" s="2">
        <v>0</v>
      </c>
      <c r="BF53" s="2">
        <v>0</v>
      </c>
      <c r="BG53" s="2">
        <v>0</v>
      </c>
      <c r="BH53" s="2">
        <v>0</v>
      </c>
      <c r="BI53" s="2">
        <v>0</v>
      </c>
      <c r="BJ53" s="2">
        <v>0</v>
      </c>
      <c r="BK53" s="2">
        <v>0</v>
      </c>
      <c r="BL53" s="2">
        <v>0</v>
      </c>
      <c r="BM53" s="2">
        <v>0</v>
      </c>
      <c r="BN53" s="2">
        <v>0</v>
      </c>
      <c r="BO53" s="2">
        <v>0</v>
      </c>
      <c r="BP53" s="2">
        <v>0</v>
      </c>
      <c r="BQ53" s="2">
        <v>1</v>
      </c>
      <c r="BR53" s="2">
        <v>0</v>
      </c>
      <c r="BS53" s="2">
        <v>0</v>
      </c>
      <c r="BT53" s="2">
        <v>0</v>
      </c>
      <c r="BU53" s="2">
        <v>0</v>
      </c>
      <c r="BV53" s="2">
        <v>0</v>
      </c>
      <c r="BW53" s="2">
        <v>0</v>
      </c>
      <c r="BX53" s="2">
        <v>0</v>
      </c>
      <c r="BY53" s="2">
        <v>0</v>
      </c>
      <c r="BZ53" s="2">
        <v>0</v>
      </c>
      <c r="CA53" s="2">
        <v>0</v>
      </c>
      <c r="CB53" s="2">
        <v>0</v>
      </c>
      <c r="CC53" s="2">
        <v>0</v>
      </c>
      <c r="CD53" s="2">
        <v>0</v>
      </c>
      <c r="CE53" s="2">
        <v>0</v>
      </c>
      <c r="CF53" s="2">
        <v>0</v>
      </c>
      <c r="CG53" s="2">
        <v>0</v>
      </c>
      <c r="CH53" s="2">
        <v>0</v>
      </c>
      <c r="CI53" s="2">
        <v>0</v>
      </c>
      <c r="CJ53" s="2">
        <v>0</v>
      </c>
      <c r="CK53" s="2">
        <v>0</v>
      </c>
      <c r="CL53" s="2">
        <v>0</v>
      </c>
      <c r="CM53" s="2">
        <v>0</v>
      </c>
      <c r="CN53" s="2">
        <v>0</v>
      </c>
      <c r="CO53" s="2">
        <v>0</v>
      </c>
      <c r="CP53" s="2">
        <v>0</v>
      </c>
      <c r="CQ53" s="2">
        <v>0</v>
      </c>
      <c r="CR53" s="2">
        <v>0</v>
      </c>
      <c r="CS53" s="2">
        <v>0</v>
      </c>
      <c r="CT53" s="2">
        <v>0</v>
      </c>
      <c r="CU53" s="2">
        <v>0</v>
      </c>
      <c r="CV53" s="2">
        <v>0</v>
      </c>
      <c r="CW53" s="2">
        <v>0</v>
      </c>
      <c r="CX53" s="2">
        <v>0</v>
      </c>
      <c r="CY53" s="2">
        <v>0</v>
      </c>
      <c r="CZ53" s="2">
        <v>0</v>
      </c>
      <c r="DA53" s="2">
        <v>0</v>
      </c>
      <c r="DB53" s="2">
        <v>0</v>
      </c>
      <c r="DC53" s="2">
        <v>0</v>
      </c>
      <c r="DD53" s="2">
        <v>0</v>
      </c>
      <c r="DE53" s="2">
        <f t="shared" si="3"/>
        <v>705</v>
      </c>
      <c r="DF53" s="2">
        <v>0</v>
      </c>
    </row>
    <row r="54" spans="1:110" ht="51" x14ac:dyDescent="0.2">
      <c r="A54" s="2" t="s">
        <v>0</v>
      </c>
      <c r="B54" s="2" t="s">
        <v>6</v>
      </c>
      <c r="C54" s="2" t="s">
        <v>234</v>
      </c>
      <c r="D54" s="2" t="s">
        <v>58</v>
      </c>
      <c r="E54" s="2" t="str">
        <f t="shared" si="1"/>
        <v>Schnittholz Latten Nadelholz sägerau, luftgetrocknet (u=20%) - CH</v>
      </c>
      <c r="F54" s="2" t="s">
        <v>89</v>
      </c>
      <c r="G54" s="2">
        <f>HLOOKUP($H54,'LCIA Daten manuell'!$A$1:$CU$3,3,FALSE)/1000</f>
        <v>0.48499999999999999</v>
      </c>
      <c r="H54" s="2" t="str">
        <f t="shared" si="8"/>
        <v>sawnwood, lath, softwood, raw, air dried (u=20%), at sawmill - CH</v>
      </c>
      <c r="I54" s="36">
        <f t="shared" ref="I54:I63" si="9">1.5*J54</f>
        <v>1.56</v>
      </c>
      <c r="J54" s="36">
        <f>1.04*K54</f>
        <v>1.04</v>
      </c>
      <c r="K54" s="36">
        <v>1</v>
      </c>
      <c r="L54" s="2">
        <v>0</v>
      </c>
      <c r="M54" s="2">
        <v>0</v>
      </c>
      <c r="N54" s="2">
        <f>-HLOOKUP("m3 Rundholz/m3 Produkt",$I$2:$K$103,ROW()-1,FALSE)</f>
        <v>-1.56</v>
      </c>
      <c r="O54" s="2">
        <v>0</v>
      </c>
      <c r="P54" s="2">
        <v>0</v>
      </c>
      <c r="Q54" s="2">
        <f>-57.312*HLOOKUP("m3 Stufe1/m3 Produkt",$I$2:$K$103,ROW()-1,FALSE)</f>
        <v>-59.604480000000002</v>
      </c>
      <c r="R54" s="2">
        <v>0</v>
      </c>
      <c r="S54" s="2">
        <v>0</v>
      </c>
      <c r="T54" s="2">
        <v>0</v>
      </c>
      <c r="U54" s="2">
        <v>0</v>
      </c>
      <c r="V54" s="2">
        <v>0</v>
      </c>
      <c r="W54" s="2">
        <v>0</v>
      </c>
      <c r="X54" s="2">
        <v>0</v>
      </c>
      <c r="Y54" s="2">
        <v>0</v>
      </c>
      <c r="Z54" s="2">
        <v>0</v>
      </c>
      <c r="AA54" s="2">
        <v>0</v>
      </c>
      <c r="AB54" s="2">
        <v>0</v>
      </c>
      <c r="AC54" s="2">
        <v>0</v>
      </c>
      <c r="AD54" s="2">
        <v>0</v>
      </c>
      <c r="AE54" s="2">
        <v>0</v>
      </c>
      <c r="AF54" s="2">
        <v>0</v>
      </c>
      <c r="AG54" s="2">
        <v>0</v>
      </c>
      <c r="AH54" s="2">
        <v>0</v>
      </c>
      <c r="AI54" s="2">
        <v>0</v>
      </c>
      <c r="AJ54" s="2">
        <v>0</v>
      </c>
      <c r="AK54" s="2">
        <v>0</v>
      </c>
      <c r="AL54" s="2">
        <v>0</v>
      </c>
      <c r="AM54" s="2">
        <v>0</v>
      </c>
      <c r="AN54" s="37">
        <v>0</v>
      </c>
      <c r="AO54" s="2">
        <v>0</v>
      </c>
      <c r="AP54" s="2">
        <v>0</v>
      </c>
      <c r="AQ54" s="2">
        <v>0</v>
      </c>
      <c r="AR54" s="2">
        <v>0</v>
      </c>
      <c r="AS54" s="2">
        <v>0</v>
      </c>
      <c r="AT54" s="2">
        <v>0</v>
      </c>
      <c r="AU54" s="2">
        <v>0</v>
      </c>
      <c r="AV54" s="2">
        <v>0</v>
      </c>
      <c r="AW54" s="2">
        <v>0</v>
      </c>
      <c r="AX54" s="2">
        <v>0</v>
      </c>
      <c r="AY54" s="2">
        <v>0</v>
      </c>
      <c r="AZ54" s="2">
        <v>0</v>
      </c>
      <c r="BA54" s="2">
        <v>0</v>
      </c>
      <c r="BB54" s="2">
        <v>0</v>
      </c>
      <c r="BC54" s="2">
        <v>0</v>
      </c>
      <c r="BD54" s="2">
        <v>0</v>
      </c>
      <c r="BE54" s="2">
        <v>0</v>
      </c>
      <c r="BF54" s="2">
        <v>0</v>
      </c>
      <c r="BG54" s="2">
        <v>0</v>
      </c>
      <c r="BH54" s="2">
        <v>0</v>
      </c>
      <c r="BI54" s="2">
        <v>0</v>
      </c>
      <c r="BJ54" s="2">
        <v>0</v>
      </c>
      <c r="BK54" s="2">
        <v>0</v>
      </c>
      <c r="BL54" s="2">
        <v>0</v>
      </c>
      <c r="BM54" s="2">
        <v>0</v>
      </c>
      <c r="BN54" s="2">
        <v>0</v>
      </c>
      <c r="BO54" s="2">
        <v>0</v>
      </c>
      <c r="BP54" s="2">
        <v>0</v>
      </c>
      <c r="BQ54" s="2">
        <v>0</v>
      </c>
      <c r="BR54" s="2">
        <v>0</v>
      </c>
      <c r="BS54" s="2">
        <v>0</v>
      </c>
      <c r="BT54" s="2">
        <v>0</v>
      </c>
      <c r="BU54" s="2">
        <v>0</v>
      </c>
      <c r="BV54" s="2">
        <v>0</v>
      </c>
      <c r="BW54" s="2">
        <v>0</v>
      </c>
      <c r="BX54" s="2">
        <v>0</v>
      </c>
      <c r="BY54" s="2">
        <v>0</v>
      </c>
      <c r="BZ54" s="2">
        <v>1</v>
      </c>
      <c r="CA54" s="2">
        <v>0</v>
      </c>
      <c r="CB54" s="2">
        <v>0</v>
      </c>
      <c r="CC54" s="2">
        <v>0</v>
      </c>
      <c r="CD54" s="2">
        <v>0</v>
      </c>
      <c r="CE54" s="2">
        <v>0</v>
      </c>
      <c r="CF54" s="2">
        <v>0</v>
      </c>
      <c r="CG54" s="2">
        <v>0</v>
      </c>
      <c r="CH54" s="2">
        <v>0</v>
      </c>
      <c r="CI54" s="2">
        <v>0</v>
      </c>
      <c r="CJ54" s="2">
        <v>0</v>
      </c>
      <c r="CK54" s="2">
        <v>0</v>
      </c>
      <c r="CL54" s="2">
        <v>0</v>
      </c>
      <c r="CM54" s="2">
        <v>0</v>
      </c>
      <c r="CN54" s="2">
        <v>0</v>
      </c>
      <c r="CO54" s="2">
        <v>0</v>
      </c>
      <c r="CP54" s="2">
        <v>0</v>
      </c>
      <c r="CQ54" s="2">
        <v>0</v>
      </c>
      <c r="CR54" s="2">
        <v>0</v>
      </c>
      <c r="CS54" s="2">
        <v>0</v>
      </c>
      <c r="CT54" s="2">
        <v>0</v>
      </c>
      <c r="CU54" s="2">
        <v>0</v>
      </c>
      <c r="CV54" s="2">
        <v>0</v>
      </c>
      <c r="CW54" s="2">
        <v>0</v>
      </c>
      <c r="CX54" s="2">
        <v>0</v>
      </c>
      <c r="CY54" s="2">
        <v>0</v>
      </c>
      <c r="CZ54" s="2">
        <v>0</v>
      </c>
      <c r="DA54" s="2">
        <v>0</v>
      </c>
      <c r="DB54" s="2">
        <v>0</v>
      </c>
      <c r="DC54" s="2">
        <v>0</v>
      </c>
      <c r="DD54" s="2">
        <v>0</v>
      </c>
      <c r="DE54" s="2">
        <f t="shared" si="3"/>
        <v>485</v>
      </c>
      <c r="DF54" s="2">
        <v>0</v>
      </c>
    </row>
    <row r="55" spans="1:110" ht="51" x14ac:dyDescent="0.2">
      <c r="A55" s="2" t="s">
        <v>0</v>
      </c>
      <c r="B55" s="2" t="s">
        <v>6</v>
      </c>
      <c r="C55" s="2" t="s">
        <v>235</v>
      </c>
      <c r="D55" s="2" t="s">
        <v>58</v>
      </c>
      <c r="E55" s="2" t="str">
        <f t="shared" si="1"/>
        <v>Schnittholz Latten Nadelholz sägerau, kammergetrocknet (u=20%) - CH</v>
      </c>
      <c r="F55" s="2" t="s">
        <v>89</v>
      </c>
      <c r="G55" s="2">
        <f>HLOOKUP($H55,'LCIA Daten manuell'!$A$1:$CU$3,3,FALSE)/1000</f>
        <v>0.48499999999999999</v>
      </c>
      <c r="H55" s="2" t="str">
        <f t="shared" si="8"/>
        <v>sawnwood, lath, softwood, raw, kiln dried (u=20%), at sawmill - CH</v>
      </c>
      <c r="I55" s="36">
        <f t="shared" si="9"/>
        <v>1.56</v>
      </c>
      <c r="J55" s="36">
        <f>1.04*K55</f>
        <v>1.04</v>
      </c>
      <c r="K55" s="36">
        <v>1</v>
      </c>
      <c r="L55" s="2">
        <v>0</v>
      </c>
      <c r="M55" s="2">
        <v>0</v>
      </c>
      <c r="N55" s="2">
        <f>-HLOOKUP("m3 Rundholz/m3 Produkt",$I$2:$K$103,ROW()-1,FALSE)</f>
        <v>-1.56</v>
      </c>
      <c r="O55" s="2">
        <v>0</v>
      </c>
      <c r="P55" s="2">
        <v>0</v>
      </c>
      <c r="Q55" s="2">
        <f>-57.312*HLOOKUP("m3 Stufe1/m3 Produkt",$I$2:$K$103,ROW()-1,FALSE)</f>
        <v>-59.604480000000002</v>
      </c>
      <c r="R55" s="2">
        <v>0</v>
      </c>
      <c r="S55" s="2">
        <v>0</v>
      </c>
      <c r="T55" s="2">
        <v>0</v>
      </c>
      <c r="U55" s="2">
        <v>0</v>
      </c>
      <c r="V55" s="2">
        <v>0</v>
      </c>
      <c r="W55" s="2">
        <v>0</v>
      </c>
      <c r="X55" s="2">
        <v>0</v>
      </c>
      <c r="Y55" s="2">
        <v>0</v>
      </c>
      <c r="Z55" s="2">
        <v>0</v>
      </c>
      <c r="AA55" s="2">
        <v>0</v>
      </c>
      <c r="AB55" s="2">
        <v>0</v>
      </c>
      <c r="AC55" s="2">
        <v>0</v>
      </c>
      <c r="AD55" s="2">
        <v>0</v>
      </c>
      <c r="AE55" s="2">
        <v>0</v>
      </c>
      <c r="AF55" s="2">
        <v>0</v>
      </c>
      <c r="AG55" s="2">
        <v>0</v>
      </c>
      <c r="AH55" s="2">
        <v>0</v>
      </c>
      <c r="AI55" s="2">
        <v>0</v>
      </c>
      <c r="AJ55" s="2">
        <v>0</v>
      </c>
      <c r="AK55" s="2">
        <v>0</v>
      </c>
      <c r="AL55" s="2">
        <v>0</v>
      </c>
      <c r="AM55" s="2">
        <v>0</v>
      </c>
      <c r="AN55" s="37">
        <v>0</v>
      </c>
      <c r="AO55" s="2">
        <v>0</v>
      </c>
      <c r="AP55" s="2">
        <v>0</v>
      </c>
      <c r="AQ55" s="2">
        <v>0</v>
      </c>
      <c r="AR55" s="2">
        <v>0</v>
      </c>
      <c r="AS55" s="2">
        <v>0</v>
      </c>
      <c r="AT55" s="2">
        <v>0</v>
      </c>
      <c r="AU55" s="2">
        <v>0</v>
      </c>
      <c r="AV55" s="2">
        <v>0</v>
      </c>
      <c r="AW55" s="2">
        <v>0</v>
      </c>
      <c r="AX55" s="2">
        <v>0</v>
      </c>
      <c r="AY55" s="2">
        <v>0</v>
      </c>
      <c r="AZ55" s="2">
        <v>0</v>
      </c>
      <c r="BA55" s="2">
        <v>0</v>
      </c>
      <c r="BB55" s="2">
        <v>0</v>
      </c>
      <c r="BC55" s="2">
        <v>1</v>
      </c>
      <c r="BD55" s="2">
        <v>0</v>
      </c>
      <c r="BE55" s="2">
        <v>0</v>
      </c>
      <c r="BF55" s="2">
        <v>0</v>
      </c>
      <c r="BG55" s="2">
        <v>0</v>
      </c>
      <c r="BH55" s="2">
        <v>0</v>
      </c>
      <c r="BI55" s="2">
        <v>0</v>
      </c>
      <c r="BJ55" s="2">
        <v>0</v>
      </c>
      <c r="BK55" s="2">
        <v>0</v>
      </c>
      <c r="BL55" s="2">
        <v>0</v>
      </c>
      <c r="BM55" s="2">
        <v>0</v>
      </c>
      <c r="BN55" s="2">
        <v>0</v>
      </c>
      <c r="BO55" s="2">
        <v>0</v>
      </c>
      <c r="BP55" s="2">
        <v>0</v>
      </c>
      <c r="BQ55" s="2">
        <v>0</v>
      </c>
      <c r="BR55" s="2">
        <v>0</v>
      </c>
      <c r="BS55" s="2">
        <v>0</v>
      </c>
      <c r="BT55" s="2">
        <v>0</v>
      </c>
      <c r="BU55" s="2">
        <v>0</v>
      </c>
      <c r="BV55" s="2">
        <v>0</v>
      </c>
      <c r="BW55" s="2">
        <v>0</v>
      </c>
      <c r="BX55" s="2">
        <v>0</v>
      </c>
      <c r="BY55" s="2">
        <v>0</v>
      </c>
      <c r="BZ55" s="2">
        <v>0</v>
      </c>
      <c r="CA55" s="2">
        <v>0</v>
      </c>
      <c r="CB55" s="2">
        <v>0</v>
      </c>
      <c r="CC55" s="2">
        <v>0</v>
      </c>
      <c r="CD55" s="2">
        <v>0</v>
      </c>
      <c r="CE55" s="2">
        <v>0</v>
      </c>
      <c r="CF55" s="2">
        <v>0</v>
      </c>
      <c r="CG55" s="2">
        <v>0</v>
      </c>
      <c r="CH55" s="2">
        <v>0</v>
      </c>
      <c r="CI55" s="2">
        <v>0</v>
      </c>
      <c r="CJ55" s="2">
        <v>0</v>
      </c>
      <c r="CK55" s="2">
        <v>0</v>
      </c>
      <c r="CL55" s="2">
        <v>0</v>
      </c>
      <c r="CM55" s="2">
        <v>0</v>
      </c>
      <c r="CN55" s="2">
        <v>0</v>
      </c>
      <c r="CO55" s="2">
        <v>0</v>
      </c>
      <c r="CP55" s="2">
        <v>0</v>
      </c>
      <c r="CQ55" s="2">
        <v>0</v>
      </c>
      <c r="CR55" s="2">
        <v>0</v>
      </c>
      <c r="CS55" s="2">
        <v>0</v>
      </c>
      <c r="CT55" s="2">
        <v>0</v>
      </c>
      <c r="CU55" s="2">
        <v>0</v>
      </c>
      <c r="CV55" s="2">
        <v>0</v>
      </c>
      <c r="CW55" s="2">
        <v>0</v>
      </c>
      <c r="CX55" s="2">
        <v>0</v>
      </c>
      <c r="CY55" s="2">
        <v>0</v>
      </c>
      <c r="CZ55" s="2">
        <v>0</v>
      </c>
      <c r="DA55" s="2">
        <v>0</v>
      </c>
      <c r="DB55" s="2">
        <v>0</v>
      </c>
      <c r="DC55" s="2">
        <v>0</v>
      </c>
      <c r="DD55" s="2">
        <v>0</v>
      </c>
      <c r="DE55" s="2">
        <f t="shared" si="3"/>
        <v>485</v>
      </c>
      <c r="DF55" s="2">
        <v>0</v>
      </c>
    </row>
    <row r="56" spans="1:110" ht="51" x14ac:dyDescent="0.2">
      <c r="A56" s="2" t="s">
        <v>0</v>
      </c>
      <c r="B56" s="2" t="s">
        <v>6</v>
      </c>
      <c r="C56" s="2" t="s">
        <v>236</v>
      </c>
      <c r="D56" s="2" t="s">
        <v>58</v>
      </c>
      <c r="E56" s="2" t="str">
        <f t="shared" si="1"/>
        <v>Schnittholz Latten Nadelholz sägerau, kammergetrocknet (u=10%) - CH</v>
      </c>
      <c r="F56" s="2" t="s">
        <v>89</v>
      </c>
      <c r="G56" s="2">
        <f>HLOOKUP($H56,'LCIA Daten manuell'!$A$1:$CU$3,3,FALSE)/1000</f>
        <v>0.46500000000000002</v>
      </c>
      <c r="H56" s="2" t="str">
        <f t="shared" si="8"/>
        <v>sawnwood, lath, softwood, raw, kiln dried (u=10%), at sawmill - CH</v>
      </c>
      <c r="I56" s="36">
        <f t="shared" si="9"/>
        <v>1.6350000000000002</v>
      </c>
      <c r="J56" s="36">
        <f>1.09*K56</f>
        <v>1.0900000000000001</v>
      </c>
      <c r="K56" s="36">
        <v>1</v>
      </c>
      <c r="L56" s="2">
        <v>0</v>
      </c>
      <c r="M56" s="2">
        <v>0</v>
      </c>
      <c r="N56" s="2">
        <f>-HLOOKUP("m3 Rundholz/m3 Produkt",$I$2:$K$103,ROW()-1,FALSE)</f>
        <v>-1.6350000000000002</v>
      </c>
      <c r="O56" s="2">
        <v>0</v>
      </c>
      <c r="P56" s="2">
        <v>0</v>
      </c>
      <c r="Q56" s="2">
        <f>-57.312*HLOOKUP("m3 Stufe1/m3 Produkt",$I$2:$K$103,ROW()-1,FALSE)</f>
        <v>-62.470080000000003</v>
      </c>
      <c r="R56" s="2">
        <v>0</v>
      </c>
      <c r="S56" s="2">
        <v>0</v>
      </c>
      <c r="T56" s="2">
        <v>0</v>
      </c>
      <c r="U56" s="2">
        <v>0</v>
      </c>
      <c r="V56" s="2">
        <v>0</v>
      </c>
      <c r="W56" s="2">
        <v>0</v>
      </c>
      <c r="X56" s="2">
        <v>0</v>
      </c>
      <c r="Y56" s="2">
        <v>0</v>
      </c>
      <c r="Z56" s="2">
        <v>0</v>
      </c>
      <c r="AA56" s="2">
        <v>0</v>
      </c>
      <c r="AB56" s="2">
        <v>0</v>
      </c>
      <c r="AC56" s="2">
        <v>0</v>
      </c>
      <c r="AD56" s="2">
        <v>0</v>
      </c>
      <c r="AE56" s="2">
        <v>0</v>
      </c>
      <c r="AF56" s="2">
        <v>0</v>
      </c>
      <c r="AG56" s="2">
        <v>0</v>
      </c>
      <c r="AH56" s="2">
        <v>0</v>
      </c>
      <c r="AI56" s="2">
        <v>0</v>
      </c>
      <c r="AJ56" s="2">
        <v>0</v>
      </c>
      <c r="AK56" s="2">
        <v>0</v>
      </c>
      <c r="AL56" s="2">
        <v>0</v>
      </c>
      <c r="AM56" s="2">
        <v>0</v>
      </c>
      <c r="AN56" s="37">
        <v>0</v>
      </c>
      <c r="AO56" s="2">
        <v>0</v>
      </c>
      <c r="AP56" s="2">
        <v>0</v>
      </c>
      <c r="AQ56" s="2">
        <v>0</v>
      </c>
      <c r="AR56" s="2">
        <v>0</v>
      </c>
      <c r="AS56" s="2">
        <v>0</v>
      </c>
      <c r="AT56" s="2">
        <v>0</v>
      </c>
      <c r="AU56" s="2">
        <v>0</v>
      </c>
      <c r="AV56" s="2">
        <v>0</v>
      </c>
      <c r="AW56" s="2">
        <v>0</v>
      </c>
      <c r="AX56" s="2">
        <v>0</v>
      </c>
      <c r="AY56" s="2">
        <v>0</v>
      </c>
      <c r="AZ56" s="2">
        <v>1</v>
      </c>
      <c r="BA56" s="2">
        <v>0</v>
      </c>
      <c r="BB56" s="2">
        <v>0</v>
      </c>
      <c r="BC56" s="2">
        <v>0</v>
      </c>
      <c r="BD56" s="2">
        <v>0</v>
      </c>
      <c r="BE56" s="2">
        <v>0</v>
      </c>
      <c r="BF56" s="2">
        <v>0</v>
      </c>
      <c r="BG56" s="2">
        <v>0</v>
      </c>
      <c r="BH56" s="2">
        <v>0</v>
      </c>
      <c r="BI56" s="2">
        <v>0</v>
      </c>
      <c r="BJ56" s="2">
        <v>0</v>
      </c>
      <c r="BK56" s="2">
        <v>0</v>
      </c>
      <c r="BL56" s="2">
        <v>0</v>
      </c>
      <c r="BM56" s="2">
        <v>0</v>
      </c>
      <c r="BN56" s="2">
        <v>0</v>
      </c>
      <c r="BO56" s="2">
        <v>0</v>
      </c>
      <c r="BP56" s="2">
        <v>0</v>
      </c>
      <c r="BQ56" s="2">
        <v>0</v>
      </c>
      <c r="BR56" s="2">
        <v>0</v>
      </c>
      <c r="BS56" s="2">
        <v>0</v>
      </c>
      <c r="BT56" s="2">
        <v>0</v>
      </c>
      <c r="BU56" s="2">
        <v>0</v>
      </c>
      <c r="BV56" s="2">
        <v>0</v>
      </c>
      <c r="BW56" s="2">
        <v>0</v>
      </c>
      <c r="BX56" s="2">
        <v>0</v>
      </c>
      <c r="BY56" s="2">
        <v>0</v>
      </c>
      <c r="BZ56" s="2">
        <v>0</v>
      </c>
      <c r="CA56" s="2">
        <v>0</v>
      </c>
      <c r="CB56" s="2">
        <v>0</v>
      </c>
      <c r="CC56" s="2">
        <v>0</v>
      </c>
      <c r="CD56" s="2">
        <v>0</v>
      </c>
      <c r="CE56" s="2">
        <v>0</v>
      </c>
      <c r="CF56" s="2">
        <v>0</v>
      </c>
      <c r="CG56" s="2">
        <v>0</v>
      </c>
      <c r="CH56" s="2">
        <v>0</v>
      </c>
      <c r="CI56" s="2">
        <v>0</v>
      </c>
      <c r="CJ56" s="2">
        <v>0</v>
      </c>
      <c r="CK56" s="2">
        <v>0</v>
      </c>
      <c r="CL56" s="2">
        <v>0</v>
      </c>
      <c r="CM56" s="2">
        <v>0</v>
      </c>
      <c r="CN56" s="2">
        <v>0</v>
      </c>
      <c r="CO56" s="2">
        <v>0</v>
      </c>
      <c r="CP56" s="2">
        <v>0</v>
      </c>
      <c r="CQ56" s="2">
        <v>0</v>
      </c>
      <c r="CR56" s="2">
        <v>0</v>
      </c>
      <c r="CS56" s="2">
        <v>0</v>
      </c>
      <c r="CT56" s="2">
        <v>0</v>
      </c>
      <c r="CU56" s="2">
        <v>0</v>
      </c>
      <c r="CV56" s="2">
        <v>0</v>
      </c>
      <c r="CW56" s="2">
        <v>0</v>
      </c>
      <c r="CX56" s="2">
        <v>0</v>
      </c>
      <c r="CY56" s="2">
        <v>0</v>
      </c>
      <c r="CZ56" s="2">
        <v>0</v>
      </c>
      <c r="DA56" s="2">
        <v>0</v>
      </c>
      <c r="DB56" s="2">
        <v>0</v>
      </c>
      <c r="DC56" s="2">
        <v>0</v>
      </c>
      <c r="DD56" s="2">
        <v>0</v>
      </c>
      <c r="DE56" s="2">
        <f t="shared" si="3"/>
        <v>465</v>
      </c>
      <c r="DF56" s="2">
        <v>0</v>
      </c>
    </row>
    <row r="57" spans="1:110" ht="51" x14ac:dyDescent="0.2">
      <c r="A57" s="2" t="s">
        <v>0</v>
      </c>
      <c r="B57" s="2" t="s">
        <v>6</v>
      </c>
      <c r="C57" s="2" t="s">
        <v>237</v>
      </c>
      <c r="D57" s="2" t="s">
        <v>58</v>
      </c>
      <c r="E57" s="2" t="str">
        <f t="shared" si="1"/>
        <v>Schnittholz Latten Nadelholz gehobelt, kammergetrocknet, (u=10%) - CH</v>
      </c>
      <c r="F57" s="2" t="s">
        <v>89</v>
      </c>
      <c r="G57" s="2">
        <f>HLOOKUP($H57,'LCIA Daten manuell'!$A$1:$CU$3,3,FALSE)/1000</f>
        <v>0.46500000000000002</v>
      </c>
      <c r="H57" s="2" t="str">
        <f t="shared" si="8"/>
        <v>sawnwood, lath, softwood, dried (u=10%), planed, at sawmill - CH</v>
      </c>
      <c r="I57" s="36">
        <f t="shared" si="9"/>
        <v>1.7985000000000004</v>
      </c>
      <c r="J57" s="36">
        <f>1.09*K57</f>
        <v>1.1990000000000003</v>
      </c>
      <c r="K57" s="36">
        <v>1.1000000000000001</v>
      </c>
      <c r="L57" s="2">
        <v>0</v>
      </c>
      <c r="M57" s="2">
        <v>0</v>
      </c>
      <c r="N57" s="2">
        <f>-HLOOKUP("m3 Rundholz/m3 Produkt",$I$2:$K$103,ROW()-1,FALSE)</f>
        <v>-1.7985000000000004</v>
      </c>
      <c r="O57" s="2">
        <v>0</v>
      </c>
      <c r="P57" s="2">
        <v>0</v>
      </c>
      <c r="Q57" s="2">
        <f>-57.312*HLOOKUP("m3 Stufe1/m3 Produkt",$I$2:$K$103,ROW()-1,FALSE)</f>
        <v>-68.717088000000018</v>
      </c>
      <c r="R57" s="2">
        <v>0</v>
      </c>
      <c r="S57" s="2">
        <v>0</v>
      </c>
      <c r="T57" s="2">
        <v>0</v>
      </c>
      <c r="U57" s="2">
        <v>0</v>
      </c>
      <c r="V57" s="2">
        <v>0</v>
      </c>
      <c r="W57" s="2">
        <v>0</v>
      </c>
      <c r="X57" s="2">
        <v>0</v>
      </c>
      <c r="Y57" s="2">
        <v>0</v>
      </c>
      <c r="Z57" s="2">
        <v>0</v>
      </c>
      <c r="AA57" s="2">
        <v>0</v>
      </c>
      <c r="AB57" s="2">
        <v>0</v>
      </c>
      <c r="AC57" s="2">
        <v>0</v>
      </c>
      <c r="AD57" s="2">
        <v>0</v>
      </c>
      <c r="AE57" s="2">
        <v>0</v>
      </c>
      <c r="AF57" s="2">
        <v>0</v>
      </c>
      <c r="AG57" s="2">
        <v>0</v>
      </c>
      <c r="AH57" s="2">
        <v>0</v>
      </c>
      <c r="AI57" s="2">
        <v>0</v>
      </c>
      <c r="AJ57" s="2">
        <v>0</v>
      </c>
      <c r="AK57" s="2">
        <v>0</v>
      </c>
      <c r="AL57" s="2">
        <v>0</v>
      </c>
      <c r="AM57" s="2">
        <v>0</v>
      </c>
      <c r="AN57" s="37">
        <v>0</v>
      </c>
      <c r="AO57" s="2">
        <v>0</v>
      </c>
      <c r="AP57" s="2">
        <v>0</v>
      </c>
      <c r="AQ57" s="2">
        <v>0</v>
      </c>
      <c r="AR57" s="2">
        <v>0</v>
      </c>
      <c r="AS57" s="2">
        <v>0</v>
      </c>
      <c r="AT57" s="2">
        <v>0</v>
      </c>
      <c r="AU57" s="2">
        <v>0</v>
      </c>
      <c r="AV57" s="2">
        <v>0</v>
      </c>
      <c r="AW57" s="2">
        <v>0</v>
      </c>
      <c r="AX57" s="2">
        <v>0</v>
      </c>
      <c r="AY57" s="2">
        <v>0</v>
      </c>
      <c r="AZ57" s="2">
        <v>0</v>
      </c>
      <c r="BA57" s="2">
        <v>0</v>
      </c>
      <c r="BB57" s="2">
        <v>0</v>
      </c>
      <c r="BC57" s="2">
        <v>0</v>
      </c>
      <c r="BD57" s="2">
        <v>0</v>
      </c>
      <c r="BE57" s="2">
        <v>0</v>
      </c>
      <c r="BF57" s="2">
        <v>0</v>
      </c>
      <c r="BG57" s="2">
        <v>0</v>
      </c>
      <c r="BH57" s="2">
        <v>0</v>
      </c>
      <c r="BI57" s="2">
        <v>0</v>
      </c>
      <c r="BJ57" s="2">
        <v>0</v>
      </c>
      <c r="BK57" s="2">
        <v>0</v>
      </c>
      <c r="BL57" s="2">
        <v>0</v>
      </c>
      <c r="BM57" s="2">
        <v>0</v>
      </c>
      <c r="BN57" s="2">
        <v>0</v>
      </c>
      <c r="BO57" s="2">
        <v>0</v>
      </c>
      <c r="BP57" s="2">
        <v>0</v>
      </c>
      <c r="BQ57" s="2">
        <v>0</v>
      </c>
      <c r="BR57" s="2">
        <v>0</v>
      </c>
      <c r="BS57" s="2">
        <v>0</v>
      </c>
      <c r="BT57" s="2">
        <v>0</v>
      </c>
      <c r="BU57" s="2">
        <v>0</v>
      </c>
      <c r="BV57" s="2">
        <v>1</v>
      </c>
      <c r="BW57" s="2">
        <v>0</v>
      </c>
      <c r="BX57" s="2">
        <v>0</v>
      </c>
      <c r="BY57" s="2">
        <v>0</v>
      </c>
      <c r="BZ57" s="2">
        <v>0</v>
      </c>
      <c r="CA57" s="2">
        <v>0</v>
      </c>
      <c r="CB57" s="2">
        <v>0</v>
      </c>
      <c r="CC57" s="2">
        <v>0</v>
      </c>
      <c r="CD57" s="2">
        <v>0</v>
      </c>
      <c r="CE57" s="2">
        <v>0</v>
      </c>
      <c r="CF57" s="2">
        <v>0</v>
      </c>
      <c r="CG57" s="2">
        <v>0</v>
      </c>
      <c r="CH57" s="2">
        <v>0</v>
      </c>
      <c r="CI57" s="2">
        <v>0</v>
      </c>
      <c r="CJ57" s="2">
        <v>0</v>
      </c>
      <c r="CK57" s="2">
        <v>0</v>
      </c>
      <c r="CL57" s="2">
        <v>0</v>
      </c>
      <c r="CM57" s="2">
        <v>0</v>
      </c>
      <c r="CN57" s="2">
        <v>0</v>
      </c>
      <c r="CO57" s="2">
        <v>0</v>
      </c>
      <c r="CP57" s="2">
        <v>0</v>
      </c>
      <c r="CQ57" s="2">
        <v>0</v>
      </c>
      <c r="CR57" s="2">
        <v>0</v>
      </c>
      <c r="CS57" s="2">
        <v>0</v>
      </c>
      <c r="CT57" s="2">
        <v>0</v>
      </c>
      <c r="CU57" s="2">
        <v>0</v>
      </c>
      <c r="CV57" s="2">
        <v>0</v>
      </c>
      <c r="CW57" s="2">
        <v>0</v>
      </c>
      <c r="CX57" s="2">
        <v>0</v>
      </c>
      <c r="CY57" s="2">
        <v>0</v>
      </c>
      <c r="CZ57" s="2">
        <v>0</v>
      </c>
      <c r="DA57" s="2">
        <v>0</v>
      </c>
      <c r="DB57" s="2">
        <v>0</v>
      </c>
      <c r="DC57" s="2">
        <v>0</v>
      </c>
      <c r="DD57" s="2">
        <v>0</v>
      </c>
      <c r="DE57" s="2">
        <f t="shared" si="3"/>
        <v>465</v>
      </c>
      <c r="DF57" s="2">
        <v>0</v>
      </c>
    </row>
    <row r="58" spans="1:110" ht="34" x14ac:dyDescent="0.2">
      <c r="A58" s="2" t="s">
        <v>0</v>
      </c>
      <c r="B58" s="2" t="s">
        <v>6</v>
      </c>
      <c r="C58" s="2" t="s">
        <v>238</v>
      </c>
      <c r="D58" s="2" t="s">
        <v>58</v>
      </c>
      <c r="E58" s="2" t="str">
        <f t="shared" si="1"/>
        <v>Schnittholz Latten Nadelholz gehobelt, getrocknet, (u=20%) - CH</v>
      </c>
      <c r="F58" s="2" t="s">
        <v>89</v>
      </c>
      <c r="G58" s="2">
        <f>HLOOKUP($H58,'LCIA Daten manuell'!$A$1:$CU$3,3,FALSE)/1000</f>
        <v>0.48499999999999999</v>
      </c>
      <c r="H58" s="2" t="str">
        <f t="shared" si="8"/>
        <v>sawnwood, lath, softwood, dried (u=20%), planed, at sawmill - CH</v>
      </c>
      <c r="I58" s="36">
        <f t="shared" si="9"/>
        <v>1.7206799999999998</v>
      </c>
      <c r="J58" s="36">
        <f>1.04*K58</f>
        <v>1.1471199999999999</v>
      </c>
      <c r="K58" s="36">
        <f>0.221+0.882</f>
        <v>1.103</v>
      </c>
      <c r="L58" s="2">
        <v>0</v>
      </c>
      <c r="M58" s="2">
        <v>0</v>
      </c>
      <c r="N58" s="2">
        <f>-HLOOKUP("m3 Rundholz/m3 Produkt",$I$2:$K$103,ROW()-1,FALSE)</f>
        <v>-1.7206799999999998</v>
      </c>
      <c r="O58" s="2">
        <v>0</v>
      </c>
      <c r="P58" s="2">
        <v>0</v>
      </c>
      <c r="Q58" s="2">
        <f>-57.312*HLOOKUP("m3 Stufe1/m3 Produkt",$I$2:$K$103,ROW()-1,FALSE)</f>
        <v>-65.743741439999994</v>
      </c>
      <c r="R58" s="2">
        <v>0</v>
      </c>
      <c r="S58" s="2">
        <v>0</v>
      </c>
      <c r="T58" s="2">
        <v>0</v>
      </c>
      <c r="U58" s="2">
        <v>0</v>
      </c>
      <c r="V58" s="2">
        <v>0</v>
      </c>
      <c r="W58" s="2">
        <v>0</v>
      </c>
      <c r="X58" s="2">
        <v>0</v>
      </c>
      <c r="Y58" s="2">
        <v>0</v>
      </c>
      <c r="Z58" s="2">
        <v>0</v>
      </c>
      <c r="AA58" s="2">
        <v>0</v>
      </c>
      <c r="AB58" s="2">
        <v>0</v>
      </c>
      <c r="AC58" s="2">
        <v>0</v>
      </c>
      <c r="AD58" s="2">
        <v>0</v>
      </c>
      <c r="AE58" s="2">
        <v>0</v>
      </c>
      <c r="AF58" s="2">
        <v>0</v>
      </c>
      <c r="AG58" s="2">
        <v>0</v>
      </c>
      <c r="AH58" s="2">
        <v>0</v>
      </c>
      <c r="AI58" s="2">
        <v>0</v>
      </c>
      <c r="AJ58" s="2">
        <v>0</v>
      </c>
      <c r="AK58" s="2">
        <v>0</v>
      </c>
      <c r="AL58" s="2">
        <v>0</v>
      </c>
      <c r="AM58" s="2">
        <v>0</v>
      </c>
      <c r="AN58" s="37">
        <v>0</v>
      </c>
      <c r="AO58" s="2">
        <v>0</v>
      </c>
      <c r="AP58" s="2">
        <v>0</v>
      </c>
      <c r="AQ58" s="2">
        <v>0</v>
      </c>
      <c r="AR58" s="2">
        <v>0</v>
      </c>
      <c r="AS58" s="2">
        <v>0</v>
      </c>
      <c r="AT58" s="2">
        <v>0</v>
      </c>
      <c r="AU58" s="2">
        <v>0</v>
      </c>
      <c r="AV58" s="2">
        <v>0</v>
      </c>
      <c r="AW58" s="2">
        <v>0</v>
      </c>
      <c r="AX58" s="2">
        <v>0</v>
      </c>
      <c r="AY58" s="2">
        <v>0</v>
      </c>
      <c r="AZ58" s="2">
        <v>0</v>
      </c>
      <c r="BA58" s="2">
        <v>0</v>
      </c>
      <c r="BB58" s="2">
        <v>0</v>
      </c>
      <c r="BC58" s="2">
        <v>0</v>
      </c>
      <c r="BD58" s="2">
        <v>0</v>
      </c>
      <c r="BE58" s="2">
        <v>0</v>
      </c>
      <c r="BF58" s="2">
        <v>0</v>
      </c>
      <c r="BG58" s="2">
        <v>0</v>
      </c>
      <c r="BH58" s="2">
        <v>0</v>
      </c>
      <c r="BI58" s="2">
        <v>0</v>
      </c>
      <c r="BJ58" s="2">
        <v>0</v>
      </c>
      <c r="BK58" s="2">
        <v>0</v>
      </c>
      <c r="BL58" s="2">
        <v>0</v>
      </c>
      <c r="BM58" s="2">
        <v>0</v>
      </c>
      <c r="BN58" s="2">
        <v>0</v>
      </c>
      <c r="BO58" s="2">
        <v>0</v>
      </c>
      <c r="BP58" s="2">
        <v>0</v>
      </c>
      <c r="BQ58" s="2">
        <v>0</v>
      </c>
      <c r="BR58" s="2">
        <v>0</v>
      </c>
      <c r="BS58" s="2">
        <v>0</v>
      </c>
      <c r="BT58" s="2">
        <v>0</v>
      </c>
      <c r="BU58" s="2">
        <v>0</v>
      </c>
      <c r="BV58" s="2">
        <v>0</v>
      </c>
      <c r="BW58" s="2">
        <v>0</v>
      </c>
      <c r="BX58" s="2">
        <v>0</v>
      </c>
      <c r="BY58" s="2">
        <v>1</v>
      </c>
      <c r="BZ58" s="2">
        <v>0</v>
      </c>
      <c r="CA58" s="2">
        <v>0</v>
      </c>
      <c r="CB58" s="2">
        <v>0</v>
      </c>
      <c r="CC58" s="2">
        <v>0</v>
      </c>
      <c r="CD58" s="2">
        <v>0</v>
      </c>
      <c r="CE58" s="2">
        <v>0</v>
      </c>
      <c r="CF58" s="2">
        <v>0</v>
      </c>
      <c r="CG58" s="2">
        <v>0</v>
      </c>
      <c r="CH58" s="2">
        <v>0</v>
      </c>
      <c r="CI58" s="2">
        <v>0</v>
      </c>
      <c r="CJ58" s="2">
        <v>0</v>
      </c>
      <c r="CK58" s="2">
        <v>0</v>
      </c>
      <c r="CL58" s="2">
        <v>0</v>
      </c>
      <c r="CM58" s="2">
        <v>0</v>
      </c>
      <c r="CN58" s="2">
        <v>0</v>
      </c>
      <c r="CO58" s="2">
        <v>0</v>
      </c>
      <c r="CP58" s="2">
        <v>0</v>
      </c>
      <c r="CQ58" s="2">
        <v>0</v>
      </c>
      <c r="CR58" s="2">
        <v>0</v>
      </c>
      <c r="CS58" s="2">
        <v>0</v>
      </c>
      <c r="CT58" s="2">
        <v>0</v>
      </c>
      <c r="CU58" s="2">
        <v>0</v>
      </c>
      <c r="CV58" s="2">
        <v>0</v>
      </c>
      <c r="CW58" s="2">
        <v>0</v>
      </c>
      <c r="CX58" s="2">
        <v>0</v>
      </c>
      <c r="CY58" s="2">
        <v>0</v>
      </c>
      <c r="CZ58" s="2">
        <v>0</v>
      </c>
      <c r="DA58" s="2">
        <v>0</v>
      </c>
      <c r="DB58" s="2">
        <v>0</v>
      </c>
      <c r="DC58" s="2">
        <v>0</v>
      </c>
      <c r="DD58" s="2">
        <v>0</v>
      </c>
      <c r="DE58" s="2">
        <f t="shared" si="3"/>
        <v>485</v>
      </c>
      <c r="DF58" s="2">
        <v>0</v>
      </c>
    </row>
    <row r="59" spans="1:110" ht="51" x14ac:dyDescent="0.2">
      <c r="A59" s="2" t="s">
        <v>0</v>
      </c>
      <c r="B59" s="2" t="s">
        <v>6</v>
      </c>
      <c r="C59" s="2" t="s">
        <v>234</v>
      </c>
      <c r="D59" s="2" t="s">
        <v>59</v>
      </c>
      <c r="E59" s="2" t="str">
        <f t="shared" si="1"/>
        <v>Schnittholz Latten Nadelholz sägerau, luftgetrocknet (u=20%) - RER</v>
      </c>
      <c r="F59" s="2" t="s">
        <v>89</v>
      </c>
      <c r="G59" s="2">
        <f>HLOOKUP($H59,'LCIA Daten manuell'!$A$1:$CU$3,3,FALSE)/1000</f>
        <v>0.48499999999999999</v>
      </c>
      <c r="H59" s="2" t="str">
        <f t="shared" si="8"/>
        <v>sawnwood, lath, softwood, raw, air dried (u=20%), at sawmill - RER</v>
      </c>
      <c r="I59" s="36">
        <f t="shared" si="9"/>
        <v>1.56</v>
      </c>
      <c r="J59" s="36">
        <f>1.04*K59</f>
        <v>1.04</v>
      </c>
      <c r="K59" s="36">
        <v>1</v>
      </c>
      <c r="L59" s="2">
        <v>0</v>
      </c>
      <c r="M59" s="2">
        <v>0</v>
      </c>
      <c r="N59" s="2">
        <v>0</v>
      </c>
      <c r="O59" s="2">
        <f>-HLOOKUP("m3 Rundholz/m3 Produkt",$I$2:$K$103,ROW()-1,FALSE)</f>
        <v>-1.56</v>
      </c>
      <c r="P59" s="2">
        <f>-57.3*HLOOKUP("m3 Stufe1/m3 Produkt",$I$2:$K$103,ROW()-1,FALSE)</f>
        <v>-59.591999999999999</v>
      </c>
      <c r="Q59" s="2">
        <v>0</v>
      </c>
      <c r="R59" s="2">
        <v>0</v>
      </c>
      <c r="S59" s="2">
        <v>0</v>
      </c>
      <c r="T59" s="2">
        <v>0</v>
      </c>
      <c r="U59" s="2">
        <v>0</v>
      </c>
      <c r="V59" s="2">
        <v>0</v>
      </c>
      <c r="W59" s="2">
        <v>0</v>
      </c>
      <c r="X59" s="2">
        <v>0</v>
      </c>
      <c r="Y59" s="2">
        <v>0</v>
      </c>
      <c r="Z59" s="2">
        <v>0</v>
      </c>
      <c r="AA59" s="2">
        <v>0</v>
      </c>
      <c r="AB59" s="2">
        <v>0</v>
      </c>
      <c r="AC59" s="2">
        <v>0</v>
      </c>
      <c r="AD59" s="2">
        <v>0</v>
      </c>
      <c r="AE59" s="2">
        <v>0</v>
      </c>
      <c r="AF59" s="2">
        <v>0</v>
      </c>
      <c r="AG59" s="2">
        <v>0</v>
      </c>
      <c r="AH59" s="2">
        <v>0</v>
      </c>
      <c r="AI59" s="2">
        <v>0</v>
      </c>
      <c r="AJ59" s="2">
        <v>0</v>
      </c>
      <c r="AK59" s="2">
        <v>0</v>
      </c>
      <c r="AL59" s="2">
        <v>0</v>
      </c>
      <c r="AM59" s="2">
        <v>0</v>
      </c>
      <c r="AN59" s="37">
        <v>0</v>
      </c>
      <c r="AO59" s="2">
        <v>0</v>
      </c>
      <c r="AP59" s="2">
        <v>0</v>
      </c>
      <c r="AQ59" s="2">
        <v>0</v>
      </c>
      <c r="AR59" s="2">
        <v>0</v>
      </c>
      <c r="AS59" s="2">
        <v>0</v>
      </c>
      <c r="AT59" s="2">
        <v>0</v>
      </c>
      <c r="AU59" s="2">
        <v>0</v>
      </c>
      <c r="AV59" s="2">
        <v>0</v>
      </c>
      <c r="AW59" s="2">
        <v>0</v>
      </c>
      <c r="AX59" s="2">
        <v>0</v>
      </c>
      <c r="AY59" s="2">
        <v>1</v>
      </c>
      <c r="AZ59" s="2">
        <v>0</v>
      </c>
      <c r="BA59" s="2">
        <v>0</v>
      </c>
      <c r="BB59" s="2">
        <v>0</v>
      </c>
      <c r="BC59" s="2">
        <v>0</v>
      </c>
      <c r="BD59" s="2">
        <v>0</v>
      </c>
      <c r="BE59" s="2">
        <v>0</v>
      </c>
      <c r="BF59" s="2">
        <v>0</v>
      </c>
      <c r="BG59" s="2">
        <v>0</v>
      </c>
      <c r="BH59" s="2">
        <v>0</v>
      </c>
      <c r="BI59" s="2">
        <v>0</v>
      </c>
      <c r="BJ59" s="2">
        <v>0</v>
      </c>
      <c r="BK59" s="2">
        <v>0</v>
      </c>
      <c r="BL59" s="2">
        <v>0</v>
      </c>
      <c r="BM59" s="2">
        <v>0</v>
      </c>
      <c r="BN59" s="2">
        <v>0</v>
      </c>
      <c r="BO59" s="2">
        <v>0</v>
      </c>
      <c r="BP59" s="2">
        <v>0</v>
      </c>
      <c r="BQ59" s="2">
        <v>0</v>
      </c>
      <c r="BR59" s="2">
        <v>0</v>
      </c>
      <c r="BS59" s="2">
        <v>0</v>
      </c>
      <c r="BT59" s="2">
        <v>0</v>
      </c>
      <c r="BU59" s="2">
        <v>0</v>
      </c>
      <c r="BV59" s="2">
        <v>0</v>
      </c>
      <c r="BW59" s="2">
        <v>0</v>
      </c>
      <c r="BX59" s="2">
        <v>0</v>
      </c>
      <c r="BY59" s="2">
        <v>0</v>
      </c>
      <c r="BZ59" s="2">
        <v>0</v>
      </c>
      <c r="CA59" s="2">
        <v>0</v>
      </c>
      <c r="CB59" s="2">
        <v>0</v>
      </c>
      <c r="CC59" s="2">
        <v>0</v>
      </c>
      <c r="CD59" s="2">
        <v>0</v>
      </c>
      <c r="CE59" s="2">
        <v>0</v>
      </c>
      <c r="CF59" s="2">
        <v>0</v>
      </c>
      <c r="CG59" s="2">
        <v>0</v>
      </c>
      <c r="CH59" s="2">
        <v>0</v>
      </c>
      <c r="CI59" s="2">
        <v>0</v>
      </c>
      <c r="CJ59" s="2">
        <v>0</v>
      </c>
      <c r="CK59" s="2">
        <v>0</v>
      </c>
      <c r="CL59" s="2">
        <v>0</v>
      </c>
      <c r="CM59" s="2">
        <v>0</v>
      </c>
      <c r="CN59" s="2">
        <v>0</v>
      </c>
      <c r="CO59" s="2">
        <v>0</v>
      </c>
      <c r="CP59" s="2">
        <v>0</v>
      </c>
      <c r="CQ59" s="2">
        <v>0</v>
      </c>
      <c r="CR59" s="2">
        <v>0</v>
      </c>
      <c r="CS59" s="2">
        <v>0</v>
      </c>
      <c r="CT59" s="2">
        <v>0</v>
      </c>
      <c r="CU59" s="2">
        <v>0</v>
      </c>
      <c r="CV59" s="2">
        <v>0</v>
      </c>
      <c r="CW59" s="2">
        <v>0</v>
      </c>
      <c r="CX59" s="2">
        <v>0</v>
      </c>
      <c r="CY59" s="2">
        <v>0</v>
      </c>
      <c r="CZ59" s="2">
        <v>0</v>
      </c>
      <c r="DA59" s="2">
        <v>0</v>
      </c>
      <c r="DB59" s="2">
        <v>0</v>
      </c>
      <c r="DC59" s="2">
        <v>0</v>
      </c>
      <c r="DD59" s="2">
        <v>0</v>
      </c>
      <c r="DE59" s="2">
        <f t="shared" si="3"/>
        <v>485</v>
      </c>
      <c r="DF59" s="2">
        <v>0</v>
      </c>
    </row>
    <row r="60" spans="1:110" ht="51" x14ac:dyDescent="0.2">
      <c r="A60" s="2" t="s">
        <v>0</v>
      </c>
      <c r="B60" s="2" t="s">
        <v>6</v>
      </c>
      <c r="C60" s="2" t="s">
        <v>235</v>
      </c>
      <c r="D60" s="2" t="s">
        <v>59</v>
      </c>
      <c r="E60" s="2" t="str">
        <f t="shared" si="1"/>
        <v>Schnittholz Latten Nadelholz sägerau, kammergetrocknet (u=20%) - RER</v>
      </c>
      <c r="F60" s="2" t="s">
        <v>89</v>
      </c>
      <c r="G60" s="2">
        <f>HLOOKUP($H60,'LCIA Daten manuell'!$A$1:$CU$3,3,FALSE)/1000</f>
        <v>0.48499999999999999</v>
      </c>
      <c r="H60" s="2" t="str">
        <f t="shared" si="8"/>
        <v>sawnwood, lath, softwood, raw, kiln dried (u=20%), at sawmill - RER</v>
      </c>
      <c r="I60" s="36">
        <f t="shared" si="9"/>
        <v>1.56</v>
      </c>
      <c r="J60" s="36">
        <f>1.04*K60</f>
        <v>1.04</v>
      </c>
      <c r="K60" s="36">
        <v>1</v>
      </c>
      <c r="L60" s="2">
        <v>0</v>
      </c>
      <c r="M60" s="2">
        <v>0</v>
      </c>
      <c r="N60" s="2">
        <v>0</v>
      </c>
      <c r="O60" s="2">
        <f>-HLOOKUP("m3 Rundholz/m3 Produkt",$I$2:$K$103,ROW()-1,FALSE)</f>
        <v>-1.56</v>
      </c>
      <c r="P60" s="2">
        <f>-57.3*HLOOKUP("m3 Stufe1/m3 Produkt",$I$2:$K$103,ROW()-1,FALSE)</f>
        <v>-59.591999999999999</v>
      </c>
      <c r="Q60" s="2">
        <v>0</v>
      </c>
      <c r="R60" s="2">
        <v>0</v>
      </c>
      <c r="S60" s="2">
        <v>0</v>
      </c>
      <c r="T60" s="2">
        <v>0</v>
      </c>
      <c r="U60" s="2">
        <v>0</v>
      </c>
      <c r="V60" s="2">
        <v>0</v>
      </c>
      <c r="W60" s="2">
        <v>0</v>
      </c>
      <c r="X60" s="2">
        <v>0</v>
      </c>
      <c r="Y60" s="2">
        <v>0</v>
      </c>
      <c r="Z60" s="2">
        <v>0</v>
      </c>
      <c r="AA60" s="2">
        <v>0</v>
      </c>
      <c r="AB60" s="2">
        <v>0</v>
      </c>
      <c r="AC60" s="2">
        <v>0</v>
      </c>
      <c r="AD60" s="2">
        <v>0</v>
      </c>
      <c r="AE60" s="2">
        <v>0</v>
      </c>
      <c r="AF60" s="2">
        <v>0</v>
      </c>
      <c r="AG60" s="2">
        <v>0</v>
      </c>
      <c r="AH60" s="2">
        <v>0</v>
      </c>
      <c r="AI60" s="2">
        <v>0</v>
      </c>
      <c r="AJ60" s="2">
        <v>0</v>
      </c>
      <c r="AK60" s="2">
        <v>0</v>
      </c>
      <c r="AL60" s="2">
        <v>0</v>
      </c>
      <c r="AM60" s="2">
        <v>0</v>
      </c>
      <c r="AN60" s="37">
        <v>0</v>
      </c>
      <c r="AO60" s="2">
        <v>0</v>
      </c>
      <c r="AP60" s="2">
        <v>0</v>
      </c>
      <c r="AQ60" s="2">
        <v>0</v>
      </c>
      <c r="AR60" s="2">
        <v>0</v>
      </c>
      <c r="AS60" s="2">
        <v>0</v>
      </c>
      <c r="AT60" s="2">
        <v>0</v>
      </c>
      <c r="AU60" s="2">
        <v>0</v>
      </c>
      <c r="AV60" s="2">
        <v>0</v>
      </c>
      <c r="AW60" s="2">
        <v>0</v>
      </c>
      <c r="AX60" s="2">
        <v>1</v>
      </c>
      <c r="AY60" s="2">
        <v>0</v>
      </c>
      <c r="AZ60" s="2">
        <v>0</v>
      </c>
      <c r="BA60" s="2">
        <v>0</v>
      </c>
      <c r="BB60" s="2">
        <v>0</v>
      </c>
      <c r="BC60" s="2">
        <v>0</v>
      </c>
      <c r="BD60" s="2">
        <v>0</v>
      </c>
      <c r="BE60" s="2">
        <v>0</v>
      </c>
      <c r="BF60" s="2">
        <v>0</v>
      </c>
      <c r="BG60" s="2">
        <v>0</v>
      </c>
      <c r="BH60" s="2">
        <v>0</v>
      </c>
      <c r="BI60" s="2">
        <v>0</v>
      </c>
      <c r="BJ60" s="2">
        <v>0</v>
      </c>
      <c r="BK60" s="2">
        <v>0</v>
      </c>
      <c r="BL60" s="2">
        <v>0</v>
      </c>
      <c r="BM60" s="2">
        <v>0</v>
      </c>
      <c r="BN60" s="2">
        <v>0</v>
      </c>
      <c r="BO60" s="2">
        <v>0</v>
      </c>
      <c r="BP60" s="2">
        <v>0</v>
      </c>
      <c r="BQ60" s="2">
        <v>0</v>
      </c>
      <c r="BR60" s="2">
        <v>0</v>
      </c>
      <c r="BS60" s="2">
        <v>0</v>
      </c>
      <c r="BT60" s="2">
        <v>0</v>
      </c>
      <c r="BU60" s="2">
        <v>0</v>
      </c>
      <c r="BV60" s="2">
        <v>0</v>
      </c>
      <c r="BW60" s="2">
        <v>0</v>
      </c>
      <c r="BX60" s="2">
        <v>0</v>
      </c>
      <c r="BY60" s="2">
        <v>0</v>
      </c>
      <c r="BZ60" s="2">
        <v>0</v>
      </c>
      <c r="CA60" s="2">
        <v>0</v>
      </c>
      <c r="CB60" s="2">
        <v>0</v>
      </c>
      <c r="CC60" s="2">
        <v>0</v>
      </c>
      <c r="CD60" s="2">
        <v>0</v>
      </c>
      <c r="CE60" s="2">
        <v>0</v>
      </c>
      <c r="CF60" s="2">
        <v>0</v>
      </c>
      <c r="CG60" s="2">
        <v>0</v>
      </c>
      <c r="CH60" s="2">
        <v>0</v>
      </c>
      <c r="CI60" s="2">
        <v>0</v>
      </c>
      <c r="CJ60" s="2">
        <v>0</v>
      </c>
      <c r="CK60" s="2">
        <v>0</v>
      </c>
      <c r="CL60" s="2">
        <v>0</v>
      </c>
      <c r="CM60" s="2">
        <v>0</v>
      </c>
      <c r="CN60" s="2">
        <v>0</v>
      </c>
      <c r="CO60" s="2">
        <v>0</v>
      </c>
      <c r="CP60" s="2">
        <v>0</v>
      </c>
      <c r="CQ60" s="2">
        <v>0</v>
      </c>
      <c r="CR60" s="2">
        <v>0</v>
      </c>
      <c r="CS60" s="2">
        <v>0</v>
      </c>
      <c r="CT60" s="2">
        <v>0</v>
      </c>
      <c r="CU60" s="2">
        <v>0</v>
      </c>
      <c r="CV60" s="2">
        <v>0</v>
      </c>
      <c r="CW60" s="2">
        <v>0</v>
      </c>
      <c r="CX60" s="2">
        <v>0</v>
      </c>
      <c r="CY60" s="2">
        <v>0</v>
      </c>
      <c r="CZ60" s="2">
        <v>0</v>
      </c>
      <c r="DA60" s="2">
        <v>0</v>
      </c>
      <c r="DB60" s="2">
        <v>0</v>
      </c>
      <c r="DC60" s="2">
        <v>0</v>
      </c>
      <c r="DD60" s="2">
        <v>0</v>
      </c>
      <c r="DE60" s="2">
        <f t="shared" si="3"/>
        <v>485</v>
      </c>
      <c r="DF60" s="2">
        <v>0</v>
      </c>
    </row>
    <row r="61" spans="1:110" ht="51" x14ac:dyDescent="0.2">
      <c r="A61" s="2" t="s">
        <v>0</v>
      </c>
      <c r="B61" s="2" t="s">
        <v>6</v>
      </c>
      <c r="C61" s="2" t="s">
        <v>236</v>
      </c>
      <c r="D61" s="2" t="s">
        <v>59</v>
      </c>
      <c r="E61" s="2" t="str">
        <f t="shared" si="1"/>
        <v>Schnittholz Latten Nadelholz sägerau, kammergetrocknet (u=10%) - RER</v>
      </c>
      <c r="F61" s="2" t="s">
        <v>89</v>
      </c>
      <c r="G61" s="2">
        <f>HLOOKUP($H61,'LCIA Daten manuell'!$A$1:$CU$3,3,FALSE)/1000</f>
        <v>0.46500000000000002</v>
      </c>
      <c r="H61" s="2" t="str">
        <f t="shared" si="8"/>
        <v>sawnwood, lath, softwood, raw, kiln dried (u=10%), at sawmill - RER</v>
      </c>
      <c r="I61" s="36">
        <f t="shared" si="9"/>
        <v>1.6350000000000002</v>
      </c>
      <c r="J61" s="36">
        <f>1.09*K61</f>
        <v>1.0900000000000001</v>
      </c>
      <c r="K61" s="36">
        <v>1</v>
      </c>
      <c r="L61" s="2">
        <v>0</v>
      </c>
      <c r="M61" s="2">
        <v>0</v>
      </c>
      <c r="N61" s="2">
        <v>0</v>
      </c>
      <c r="O61" s="2">
        <f>-HLOOKUP("m3 Rundholz/m3 Produkt",$I$2:$K$103,ROW()-1,FALSE)</f>
        <v>-1.6350000000000002</v>
      </c>
      <c r="P61" s="2">
        <f>-57.3*HLOOKUP("m3 Stufe1/m3 Produkt",$I$2:$K$103,ROW()-1,FALSE)</f>
        <v>-62.457000000000001</v>
      </c>
      <c r="Q61" s="2">
        <v>0</v>
      </c>
      <c r="R61" s="2">
        <v>0</v>
      </c>
      <c r="S61" s="2">
        <v>0</v>
      </c>
      <c r="T61" s="2">
        <v>0</v>
      </c>
      <c r="U61" s="2">
        <v>0</v>
      </c>
      <c r="V61" s="2">
        <v>0</v>
      </c>
      <c r="W61" s="2">
        <v>0</v>
      </c>
      <c r="X61" s="2">
        <v>0</v>
      </c>
      <c r="Y61" s="2">
        <v>0</v>
      </c>
      <c r="Z61" s="2">
        <v>0</v>
      </c>
      <c r="AA61" s="2">
        <v>0</v>
      </c>
      <c r="AB61" s="2">
        <v>0</v>
      </c>
      <c r="AC61" s="2">
        <v>0</v>
      </c>
      <c r="AD61" s="2">
        <v>0</v>
      </c>
      <c r="AE61" s="2">
        <v>0</v>
      </c>
      <c r="AF61" s="2">
        <v>0</v>
      </c>
      <c r="AG61" s="2">
        <v>0</v>
      </c>
      <c r="AH61" s="2">
        <v>0</v>
      </c>
      <c r="AI61" s="2">
        <v>0</v>
      </c>
      <c r="AJ61" s="2">
        <v>0</v>
      </c>
      <c r="AK61" s="2">
        <v>0</v>
      </c>
      <c r="AL61" s="2">
        <v>0</v>
      </c>
      <c r="AM61" s="2">
        <v>0</v>
      </c>
      <c r="AN61" s="37">
        <v>0</v>
      </c>
      <c r="AO61" s="2">
        <v>0</v>
      </c>
      <c r="AP61" s="2">
        <v>0</v>
      </c>
      <c r="AQ61" s="2">
        <v>0</v>
      </c>
      <c r="AR61" s="2">
        <v>0</v>
      </c>
      <c r="AS61" s="2">
        <v>0</v>
      </c>
      <c r="AT61" s="2">
        <v>0</v>
      </c>
      <c r="AU61" s="2">
        <v>0</v>
      </c>
      <c r="AV61" s="2">
        <v>0</v>
      </c>
      <c r="AW61" s="2">
        <v>1</v>
      </c>
      <c r="AX61" s="2">
        <v>0</v>
      </c>
      <c r="AY61" s="2">
        <v>0</v>
      </c>
      <c r="AZ61" s="2">
        <v>0</v>
      </c>
      <c r="BA61" s="2">
        <v>0</v>
      </c>
      <c r="BB61" s="2">
        <v>0</v>
      </c>
      <c r="BC61" s="2">
        <v>0</v>
      </c>
      <c r="BD61" s="2">
        <v>0</v>
      </c>
      <c r="BE61" s="2">
        <v>0</v>
      </c>
      <c r="BF61" s="2">
        <v>0</v>
      </c>
      <c r="BG61" s="2">
        <v>0</v>
      </c>
      <c r="BH61" s="2">
        <v>0</v>
      </c>
      <c r="BI61" s="2">
        <v>0</v>
      </c>
      <c r="BJ61" s="2">
        <v>0</v>
      </c>
      <c r="BK61" s="2">
        <v>0</v>
      </c>
      <c r="BL61" s="2">
        <v>0</v>
      </c>
      <c r="BM61" s="2">
        <v>0</v>
      </c>
      <c r="BN61" s="2">
        <v>0</v>
      </c>
      <c r="BO61" s="2">
        <v>0</v>
      </c>
      <c r="BP61" s="2">
        <v>0</v>
      </c>
      <c r="BQ61" s="2">
        <v>0</v>
      </c>
      <c r="BR61" s="2">
        <v>0</v>
      </c>
      <c r="BS61" s="2">
        <v>0</v>
      </c>
      <c r="BT61" s="2">
        <v>0</v>
      </c>
      <c r="BU61" s="2">
        <v>0</v>
      </c>
      <c r="BV61" s="2">
        <v>0</v>
      </c>
      <c r="BW61" s="2">
        <v>0</v>
      </c>
      <c r="BX61" s="2">
        <v>0</v>
      </c>
      <c r="BY61" s="2">
        <v>0</v>
      </c>
      <c r="BZ61" s="2">
        <v>0</v>
      </c>
      <c r="CA61" s="2">
        <v>0</v>
      </c>
      <c r="CB61" s="2">
        <v>0</v>
      </c>
      <c r="CC61" s="2">
        <v>0</v>
      </c>
      <c r="CD61" s="2">
        <v>0</v>
      </c>
      <c r="CE61" s="2">
        <v>0</v>
      </c>
      <c r="CF61" s="2">
        <v>0</v>
      </c>
      <c r="CG61" s="2">
        <v>0</v>
      </c>
      <c r="CH61" s="2">
        <v>0</v>
      </c>
      <c r="CI61" s="2">
        <v>0</v>
      </c>
      <c r="CJ61" s="2">
        <v>0</v>
      </c>
      <c r="CK61" s="2">
        <v>0</v>
      </c>
      <c r="CL61" s="2">
        <v>0</v>
      </c>
      <c r="CM61" s="2">
        <v>0</v>
      </c>
      <c r="CN61" s="2">
        <v>0</v>
      </c>
      <c r="CO61" s="2">
        <v>0</v>
      </c>
      <c r="CP61" s="2">
        <v>0</v>
      </c>
      <c r="CQ61" s="2">
        <v>0</v>
      </c>
      <c r="CR61" s="2">
        <v>0</v>
      </c>
      <c r="CS61" s="2">
        <v>0</v>
      </c>
      <c r="CT61" s="2">
        <v>0</v>
      </c>
      <c r="CU61" s="2">
        <v>0</v>
      </c>
      <c r="CV61" s="2">
        <v>0</v>
      </c>
      <c r="CW61" s="2">
        <v>0</v>
      </c>
      <c r="CX61" s="2">
        <v>0</v>
      </c>
      <c r="CY61" s="2">
        <v>0</v>
      </c>
      <c r="CZ61" s="2">
        <v>0</v>
      </c>
      <c r="DA61" s="2">
        <v>0</v>
      </c>
      <c r="DB61" s="2">
        <v>0</v>
      </c>
      <c r="DC61" s="2">
        <v>0</v>
      </c>
      <c r="DD61" s="2">
        <v>0</v>
      </c>
      <c r="DE61" s="2">
        <f t="shared" si="3"/>
        <v>465</v>
      </c>
      <c r="DF61" s="2">
        <v>0</v>
      </c>
    </row>
    <row r="62" spans="1:110" ht="51" x14ac:dyDescent="0.2">
      <c r="A62" s="2" t="s">
        <v>0</v>
      </c>
      <c r="B62" s="2" t="s">
        <v>6</v>
      </c>
      <c r="C62" s="2" t="s">
        <v>237</v>
      </c>
      <c r="D62" s="2" t="s">
        <v>59</v>
      </c>
      <c r="E62" s="2" t="str">
        <f t="shared" si="1"/>
        <v>Schnittholz Latten Nadelholz gehobelt, kammergetrocknet, (u=10%) - RER</v>
      </c>
      <c r="F62" s="2" t="s">
        <v>89</v>
      </c>
      <c r="G62" s="2">
        <f>HLOOKUP($H62,'LCIA Daten manuell'!$A$1:$CU$3,3,FALSE)/1000</f>
        <v>0.46500000000000002</v>
      </c>
      <c r="H62" s="2" t="str">
        <f t="shared" si="8"/>
        <v>sawnwood, lath, softwood, dried (u=10%), planed, at sawmill - RER</v>
      </c>
      <c r="I62" s="36">
        <f t="shared" si="9"/>
        <v>1.7985000000000004</v>
      </c>
      <c r="J62" s="36">
        <f>1.09*K62</f>
        <v>1.1990000000000003</v>
      </c>
      <c r="K62" s="36">
        <v>1.1000000000000001</v>
      </c>
      <c r="L62" s="2">
        <v>0</v>
      </c>
      <c r="M62" s="2">
        <v>0</v>
      </c>
      <c r="N62" s="2">
        <v>0</v>
      </c>
      <c r="O62" s="2">
        <f>-HLOOKUP("m3 Rundholz/m3 Produkt",$I$2:$K$103,ROW()-1,FALSE)</f>
        <v>-1.7985000000000004</v>
      </c>
      <c r="P62" s="2">
        <f>-57.3*HLOOKUP("m3 Stufe1/m3 Produkt",$I$2:$K$103,ROW()-1,FALSE)</f>
        <v>-68.702700000000007</v>
      </c>
      <c r="Q62" s="2">
        <v>0</v>
      </c>
      <c r="R62" s="2">
        <v>0</v>
      </c>
      <c r="S62" s="2">
        <v>0</v>
      </c>
      <c r="T62" s="2">
        <v>0</v>
      </c>
      <c r="U62" s="2">
        <v>0</v>
      </c>
      <c r="V62" s="2">
        <v>0</v>
      </c>
      <c r="W62" s="2">
        <v>0</v>
      </c>
      <c r="X62" s="2">
        <v>0</v>
      </c>
      <c r="Y62" s="2">
        <v>0</v>
      </c>
      <c r="Z62" s="2">
        <v>0</v>
      </c>
      <c r="AA62" s="2">
        <v>0</v>
      </c>
      <c r="AB62" s="2">
        <v>0</v>
      </c>
      <c r="AC62" s="2">
        <v>0</v>
      </c>
      <c r="AD62" s="2">
        <v>0</v>
      </c>
      <c r="AE62" s="2">
        <v>0</v>
      </c>
      <c r="AF62" s="2">
        <v>0</v>
      </c>
      <c r="AG62" s="2">
        <v>0</v>
      </c>
      <c r="AH62" s="2">
        <v>0</v>
      </c>
      <c r="AI62" s="2">
        <v>0</v>
      </c>
      <c r="AJ62" s="2">
        <v>0</v>
      </c>
      <c r="AK62" s="2">
        <v>0</v>
      </c>
      <c r="AL62" s="2">
        <v>0</v>
      </c>
      <c r="AM62" s="2">
        <v>0</v>
      </c>
      <c r="AN62" s="37">
        <v>0</v>
      </c>
      <c r="AO62" s="2">
        <v>0</v>
      </c>
      <c r="AP62" s="2">
        <v>0</v>
      </c>
      <c r="AQ62" s="2">
        <v>0</v>
      </c>
      <c r="AR62" s="2">
        <v>0</v>
      </c>
      <c r="AS62" s="2">
        <v>0</v>
      </c>
      <c r="AT62" s="2">
        <v>0</v>
      </c>
      <c r="AU62" s="2">
        <v>0</v>
      </c>
      <c r="AV62" s="2">
        <v>0</v>
      </c>
      <c r="AW62" s="2">
        <v>0</v>
      </c>
      <c r="AX62" s="2">
        <v>0</v>
      </c>
      <c r="AY62" s="2">
        <v>0</v>
      </c>
      <c r="AZ62" s="2">
        <v>0</v>
      </c>
      <c r="BA62" s="2">
        <v>0</v>
      </c>
      <c r="BB62" s="2">
        <v>0</v>
      </c>
      <c r="BC62" s="2">
        <v>0</v>
      </c>
      <c r="BD62" s="2">
        <v>0</v>
      </c>
      <c r="BE62" s="2">
        <v>0</v>
      </c>
      <c r="BF62" s="2">
        <v>0</v>
      </c>
      <c r="BG62" s="2">
        <v>0</v>
      </c>
      <c r="BH62" s="2">
        <v>0</v>
      </c>
      <c r="BI62" s="2">
        <v>0</v>
      </c>
      <c r="BJ62" s="2">
        <v>0</v>
      </c>
      <c r="BK62" s="2">
        <v>0</v>
      </c>
      <c r="BL62" s="2">
        <v>0</v>
      </c>
      <c r="BM62" s="2">
        <v>0</v>
      </c>
      <c r="BN62" s="2">
        <v>0</v>
      </c>
      <c r="BO62" s="2">
        <v>0</v>
      </c>
      <c r="BP62" s="2">
        <v>0</v>
      </c>
      <c r="BQ62" s="2">
        <v>0</v>
      </c>
      <c r="BR62" s="2">
        <v>0</v>
      </c>
      <c r="BS62" s="2">
        <v>0</v>
      </c>
      <c r="BT62" s="2">
        <v>0</v>
      </c>
      <c r="BU62" s="2">
        <v>0</v>
      </c>
      <c r="BV62" s="2">
        <v>0</v>
      </c>
      <c r="BW62" s="2">
        <v>0</v>
      </c>
      <c r="BX62" s="2">
        <v>1</v>
      </c>
      <c r="BY62" s="2">
        <v>0</v>
      </c>
      <c r="BZ62" s="2">
        <v>0</v>
      </c>
      <c r="CA62" s="2">
        <v>0</v>
      </c>
      <c r="CB62" s="2">
        <v>0</v>
      </c>
      <c r="CC62" s="2">
        <v>0</v>
      </c>
      <c r="CD62" s="2">
        <v>0</v>
      </c>
      <c r="CE62" s="2">
        <v>0</v>
      </c>
      <c r="CF62" s="2">
        <v>0</v>
      </c>
      <c r="CG62" s="2">
        <v>0</v>
      </c>
      <c r="CH62" s="2">
        <v>0</v>
      </c>
      <c r="CI62" s="2">
        <v>0</v>
      </c>
      <c r="CJ62" s="2">
        <v>0</v>
      </c>
      <c r="CK62" s="2">
        <v>0</v>
      </c>
      <c r="CL62" s="2">
        <v>0</v>
      </c>
      <c r="CM62" s="2">
        <v>0</v>
      </c>
      <c r="CN62" s="2">
        <v>0</v>
      </c>
      <c r="CO62" s="2">
        <v>0</v>
      </c>
      <c r="CP62" s="2">
        <v>0</v>
      </c>
      <c r="CQ62" s="2">
        <v>0</v>
      </c>
      <c r="CR62" s="2">
        <v>0</v>
      </c>
      <c r="CS62" s="2">
        <v>0</v>
      </c>
      <c r="CT62" s="2">
        <v>0</v>
      </c>
      <c r="CU62" s="2">
        <v>0</v>
      </c>
      <c r="CV62" s="2">
        <v>0</v>
      </c>
      <c r="CW62" s="2">
        <v>0</v>
      </c>
      <c r="CX62" s="2">
        <v>0</v>
      </c>
      <c r="CY62" s="2">
        <v>0</v>
      </c>
      <c r="CZ62" s="2">
        <v>0</v>
      </c>
      <c r="DA62" s="2">
        <v>0</v>
      </c>
      <c r="DB62" s="2">
        <v>0</v>
      </c>
      <c r="DC62" s="2">
        <v>0</v>
      </c>
      <c r="DD62" s="2">
        <v>0</v>
      </c>
      <c r="DE62" s="2">
        <f t="shared" si="3"/>
        <v>465</v>
      </c>
      <c r="DF62" s="2">
        <v>0</v>
      </c>
    </row>
    <row r="63" spans="1:110" ht="34" x14ac:dyDescent="0.2">
      <c r="A63" s="2" t="s">
        <v>0</v>
      </c>
      <c r="B63" s="2" t="s">
        <v>6</v>
      </c>
      <c r="C63" s="2" t="s">
        <v>238</v>
      </c>
      <c r="D63" s="2" t="s">
        <v>59</v>
      </c>
      <c r="E63" s="2" t="str">
        <f t="shared" si="1"/>
        <v>Schnittholz Latten Nadelholz gehobelt, getrocknet, (u=20%) - RER</v>
      </c>
      <c r="F63" s="2" t="s">
        <v>89</v>
      </c>
      <c r="G63" s="2">
        <f>HLOOKUP($H63,'LCIA Daten manuell'!$A$1:$CU$3,3,FALSE)/1000</f>
        <v>0.48499999999999999</v>
      </c>
      <c r="H63" s="2" t="str">
        <f t="shared" si="8"/>
        <v>sawnwood, lath, softwood, dried (u=20%), planed, at sawmill - RER</v>
      </c>
      <c r="I63" s="36">
        <f t="shared" si="9"/>
        <v>1.7206799999999998</v>
      </c>
      <c r="J63" s="36">
        <f>1.04*K63</f>
        <v>1.1471199999999999</v>
      </c>
      <c r="K63" s="36">
        <f>0.882+0.221</f>
        <v>1.103</v>
      </c>
      <c r="L63" s="2">
        <v>0</v>
      </c>
      <c r="M63" s="2">
        <v>0</v>
      </c>
      <c r="N63" s="2">
        <v>0</v>
      </c>
      <c r="O63" s="2">
        <f>-HLOOKUP("m3 Rundholz/m3 Produkt",$I$2:$K$103,ROW()-1,FALSE)</f>
        <v>-1.7206799999999998</v>
      </c>
      <c r="P63" s="2">
        <f>-57.3*HLOOKUP("m3 Stufe1/m3 Produkt",$I$2:$K$103,ROW()-1,FALSE)</f>
        <v>-65.729975999999994</v>
      </c>
      <c r="Q63" s="2">
        <v>0</v>
      </c>
      <c r="R63" s="2">
        <v>0</v>
      </c>
      <c r="S63" s="2">
        <v>0</v>
      </c>
      <c r="T63" s="2">
        <v>0</v>
      </c>
      <c r="U63" s="2">
        <v>0</v>
      </c>
      <c r="V63" s="2">
        <v>0</v>
      </c>
      <c r="W63" s="2">
        <v>0</v>
      </c>
      <c r="X63" s="2">
        <v>0</v>
      </c>
      <c r="Y63" s="2">
        <v>0</v>
      </c>
      <c r="Z63" s="2">
        <v>0</v>
      </c>
      <c r="AA63" s="2">
        <v>0</v>
      </c>
      <c r="AB63" s="2">
        <v>0</v>
      </c>
      <c r="AC63" s="2">
        <v>0</v>
      </c>
      <c r="AD63" s="2">
        <v>0</v>
      </c>
      <c r="AE63" s="2">
        <v>0</v>
      </c>
      <c r="AF63" s="2">
        <v>0</v>
      </c>
      <c r="AG63" s="2">
        <v>0</v>
      </c>
      <c r="AH63" s="2">
        <v>0</v>
      </c>
      <c r="AI63" s="2">
        <v>0</v>
      </c>
      <c r="AJ63" s="2">
        <v>0</v>
      </c>
      <c r="AK63" s="2">
        <v>0</v>
      </c>
      <c r="AL63" s="2">
        <v>0</v>
      </c>
      <c r="AM63" s="2">
        <v>0</v>
      </c>
      <c r="AN63" s="37">
        <v>0</v>
      </c>
      <c r="AO63" s="2">
        <v>0</v>
      </c>
      <c r="AP63" s="2">
        <v>0</v>
      </c>
      <c r="AQ63" s="2">
        <v>0</v>
      </c>
      <c r="AR63" s="2">
        <v>0</v>
      </c>
      <c r="AS63" s="2">
        <v>0</v>
      </c>
      <c r="AT63" s="2">
        <v>0</v>
      </c>
      <c r="AU63" s="2">
        <v>0</v>
      </c>
      <c r="AV63" s="2">
        <v>0</v>
      </c>
      <c r="AW63" s="2">
        <v>0</v>
      </c>
      <c r="AX63" s="2">
        <v>0</v>
      </c>
      <c r="AY63" s="2">
        <v>0</v>
      </c>
      <c r="AZ63" s="2">
        <v>0</v>
      </c>
      <c r="BA63" s="2">
        <v>0</v>
      </c>
      <c r="BB63" s="2">
        <v>0</v>
      </c>
      <c r="BC63" s="2">
        <v>0</v>
      </c>
      <c r="BD63" s="2">
        <v>0</v>
      </c>
      <c r="BE63" s="2">
        <v>0</v>
      </c>
      <c r="BF63" s="2">
        <v>0</v>
      </c>
      <c r="BG63" s="2">
        <v>0</v>
      </c>
      <c r="BH63" s="2">
        <v>0</v>
      </c>
      <c r="BI63" s="2">
        <v>0</v>
      </c>
      <c r="BJ63" s="2">
        <v>0</v>
      </c>
      <c r="BK63" s="2">
        <v>0</v>
      </c>
      <c r="BL63" s="2">
        <v>0</v>
      </c>
      <c r="BM63" s="2">
        <v>0</v>
      </c>
      <c r="BN63" s="2">
        <v>0</v>
      </c>
      <c r="BO63" s="2">
        <v>0</v>
      </c>
      <c r="BP63" s="2">
        <v>0</v>
      </c>
      <c r="BQ63" s="2">
        <v>0</v>
      </c>
      <c r="BR63" s="2">
        <v>0</v>
      </c>
      <c r="BS63" s="2">
        <v>0</v>
      </c>
      <c r="BT63" s="2">
        <v>0</v>
      </c>
      <c r="BU63" s="2">
        <v>0</v>
      </c>
      <c r="BV63" s="2">
        <v>0</v>
      </c>
      <c r="BW63" s="2">
        <v>1</v>
      </c>
      <c r="BX63" s="2">
        <v>0</v>
      </c>
      <c r="BY63" s="2">
        <v>0</v>
      </c>
      <c r="BZ63" s="2">
        <v>0</v>
      </c>
      <c r="CA63" s="2">
        <v>0</v>
      </c>
      <c r="CB63" s="2">
        <v>0</v>
      </c>
      <c r="CC63" s="2">
        <v>0</v>
      </c>
      <c r="CD63" s="2">
        <v>0</v>
      </c>
      <c r="CE63" s="2">
        <v>0</v>
      </c>
      <c r="CF63" s="2">
        <v>0</v>
      </c>
      <c r="CG63" s="2">
        <v>0</v>
      </c>
      <c r="CH63" s="2">
        <v>0</v>
      </c>
      <c r="CI63" s="2">
        <v>0</v>
      </c>
      <c r="CJ63" s="2">
        <v>0</v>
      </c>
      <c r="CK63" s="2">
        <v>0</v>
      </c>
      <c r="CL63" s="2">
        <v>0</v>
      </c>
      <c r="CM63" s="2">
        <v>0</v>
      </c>
      <c r="CN63" s="2">
        <v>0</v>
      </c>
      <c r="CO63" s="2">
        <v>0</v>
      </c>
      <c r="CP63" s="2">
        <v>0</v>
      </c>
      <c r="CQ63" s="2">
        <v>0</v>
      </c>
      <c r="CR63" s="2">
        <v>0</v>
      </c>
      <c r="CS63" s="2">
        <v>0</v>
      </c>
      <c r="CT63" s="2">
        <v>0</v>
      </c>
      <c r="CU63" s="2">
        <v>0</v>
      </c>
      <c r="CV63" s="2">
        <v>0</v>
      </c>
      <c r="CW63" s="2">
        <v>0</v>
      </c>
      <c r="CX63" s="2">
        <v>0</v>
      </c>
      <c r="CY63" s="2">
        <v>0</v>
      </c>
      <c r="CZ63" s="2">
        <v>0</v>
      </c>
      <c r="DA63" s="2">
        <v>0</v>
      </c>
      <c r="DB63" s="2">
        <v>0</v>
      </c>
      <c r="DC63" s="2">
        <v>0</v>
      </c>
      <c r="DD63" s="2">
        <v>0</v>
      </c>
      <c r="DE63" s="2">
        <f t="shared" si="3"/>
        <v>485</v>
      </c>
      <c r="DF63" s="2">
        <v>0</v>
      </c>
    </row>
    <row r="64" spans="1:110" ht="51" x14ac:dyDescent="0.2">
      <c r="A64" s="2" t="s">
        <v>217</v>
      </c>
      <c r="B64" s="2" t="s">
        <v>2</v>
      </c>
      <c r="D64" s="2" t="s">
        <v>58</v>
      </c>
      <c r="E64" s="2" t="str">
        <f t="shared" ref="E64" si="10">CONCATENATE(A64," ",B64," ",C64," - ",D64)</f>
        <v>Weichfaser-, Spanplatten, Sperrholz Weichfaserplatten  - CH</v>
      </c>
      <c r="F64" s="2" t="s">
        <v>142</v>
      </c>
      <c r="G64" s="2">
        <f>HLOOKUP($H64,'LCIA Daten manuell'!$A$1:$CU$3,3,FALSE)/1000</f>
        <v>0.14799999999999999</v>
      </c>
      <c r="H64" s="55" t="s">
        <v>288</v>
      </c>
      <c r="I64" s="36">
        <v>1</v>
      </c>
      <c r="J64" s="36">
        <v>1</v>
      </c>
      <c r="K64" s="36">
        <v>1</v>
      </c>
      <c r="L64" s="2">
        <v>0</v>
      </c>
      <c r="M64" s="2">
        <v>0</v>
      </c>
      <c r="N64" s="2">
        <v>0</v>
      </c>
      <c r="O64" s="2">
        <v>0</v>
      </c>
      <c r="P64" s="2">
        <v>0</v>
      </c>
      <c r="Q64" s="2">
        <v>0</v>
      </c>
      <c r="R64" s="2">
        <v>0</v>
      </c>
      <c r="S64" s="2">
        <v>0</v>
      </c>
      <c r="T64" s="2">
        <v>0</v>
      </c>
      <c r="U64" s="2">
        <v>0</v>
      </c>
      <c r="V64" s="2">
        <v>0</v>
      </c>
      <c r="W64" s="2">
        <v>0</v>
      </c>
      <c r="X64" s="2">
        <v>0</v>
      </c>
      <c r="Y64" s="2">
        <v>0</v>
      </c>
      <c r="Z64" s="2">
        <v>0</v>
      </c>
      <c r="AA64" s="2">
        <v>0</v>
      </c>
      <c r="AB64" s="2">
        <v>0</v>
      </c>
      <c r="AC64" s="2">
        <v>0</v>
      </c>
      <c r="AD64" s="2">
        <v>0</v>
      </c>
      <c r="AE64" s="2">
        <v>0</v>
      </c>
      <c r="AF64" s="2">
        <v>0</v>
      </c>
      <c r="AG64" s="2">
        <v>0</v>
      </c>
      <c r="AH64" s="2">
        <v>0</v>
      </c>
      <c r="AI64" s="2">
        <v>0</v>
      </c>
      <c r="AJ64" s="2">
        <v>0</v>
      </c>
      <c r="AK64" s="2">
        <v>0</v>
      </c>
      <c r="AL64" s="2">
        <v>0</v>
      </c>
      <c r="AM64" s="2">
        <v>0</v>
      </c>
      <c r="AN64" s="37">
        <v>0</v>
      </c>
      <c r="AO64" s="2">
        <v>0</v>
      </c>
      <c r="AP64" s="2">
        <v>0</v>
      </c>
      <c r="AQ64" s="2">
        <v>0</v>
      </c>
      <c r="AR64" s="2">
        <v>0</v>
      </c>
      <c r="AS64" s="2">
        <v>0</v>
      </c>
      <c r="AT64" s="2">
        <v>0</v>
      </c>
      <c r="AU64" s="2">
        <v>0</v>
      </c>
      <c r="AV64" s="2">
        <v>0</v>
      </c>
      <c r="AW64" s="2">
        <v>0</v>
      </c>
      <c r="AX64" s="2">
        <v>0</v>
      </c>
      <c r="AY64" s="2">
        <v>0</v>
      </c>
      <c r="AZ64" s="2">
        <v>0</v>
      </c>
      <c r="BA64" s="2">
        <v>0</v>
      </c>
      <c r="BB64" s="2">
        <v>0</v>
      </c>
      <c r="BC64" s="2">
        <v>0</v>
      </c>
      <c r="BD64" s="2">
        <v>0</v>
      </c>
      <c r="BE64" s="2">
        <v>0</v>
      </c>
      <c r="BF64" s="2">
        <v>0</v>
      </c>
      <c r="BG64" s="2">
        <v>0</v>
      </c>
      <c r="BH64" s="2">
        <v>0</v>
      </c>
      <c r="BI64" s="2">
        <v>0</v>
      </c>
      <c r="BJ64" s="2">
        <v>0</v>
      </c>
      <c r="BK64" s="2">
        <v>0</v>
      </c>
      <c r="BL64" s="2">
        <v>0</v>
      </c>
      <c r="BM64" s="2">
        <v>0</v>
      </c>
      <c r="BN64" s="2">
        <v>0</v>
      </c>
      <c r="BO64" s="2">
        <v>0</v>
      </c>
      <c r="BP64" s="2">
        <v>0</v>
      </c>
      <c r="BQ64" s="2">
        <v>0</v>
      </c>
      <c r="BR64" s="2">
        <v>0</v>
      </c>
      <c r="BS64" s="2">
        <v>0</v>
      </c>
      <c r="BT64" s="2">
        <v>0</v>
      </c>
      <c r="BU64" s="2">
        <v>0</v>
      </c>
      <c r="BV64" s="2">
        <v>0</v>
      </c>
      <c r="BW64" s="2">
        <v>0</v>
      </c>
      <c r="BX64" s="2">
        <v>0</v>
      </c>
      <c r="BY64" s="2">
        <v>0</v>
      </c>
      <c r="BZ64" s="2">
        <v>0</v>
      </c>
      <c r="CA64" s="2">
        <v>0</v>
      </c>
      <c r="CB64" s="2">
        <v>0</v>
      </c>
      <c r="CC64" s="117">
        <f>1-CF64</f>
        <v>1</v>
      </c>
      <c r="CD64" s="2">
        <v>0</v>
      </c>
      <c r="CE64" s="2">
        <v>0</v>
      </c>
      <c r="CF64" s="117">
        <f>Eingabemaske!$D$17</f>
        <v>0</v>
      </c>
      <c r="CG64" s="2">
        <v>0</v>
      </c>
      <c r="CH64" s="2">
        <v>0</v>
      </c>
      <c r="CI64" s="2">
        <v>0</v>
      </c>
      <c r="CJ64" s="2">
        <v>0</v>
      </c>
      <c r="CK64" s="2">
        <v>0</v>
      </c>
      <c r="CL64" s="2">
        <v>0</v>
      </c>
      <c r="CM64" s="2">
        <v>0</v>
      </c>
      <c r="CN64" s="2">
        <v>0</v>
      </c>
      <c r="CO64" s="2">
        <v>0</v>
      </c>
      <c r="CP64" s="2">
        <v>0</v>
      </c>
      <c r="CQ64" s="2">
        <v>0</v>
      </c>
      <c r="CR64" s="2">
        <v>0</v>
      </c>
      <c r="CS64" s="2">
        <v>0</v>
      </c>
      <c r="CT64" s="2">
        <v>0</v>
      </c>
      <c r="CU64" s="2">
        <v>0</v>
      </c>
      <c r="CV64" s="2">
        <v>0</v>
      </c>
      <c r="CW64" s="2">
        <v>0</v>
      </c>
      <c r="CX64" s="2">
        <v>0</v>
      </c>
      <c r="CY64" s="2">
        <v>0</v>
      </c>
      <c r="CZ64" s="2">
        <v>0</v>
      </c>
      <c r="DA64" s="2">
        <v>0</v>
      </c>
      <c r="DB64" s="57">
        <f>$G64*1000</f>
        <v>148</v>
      </c>
      <c r="DC64" s="2">
        <v>0</v>
      </c>
      <c r="DD64" s="2">
        <v>0</v>
      </c>
      <c r="DE64" s="2">
        <v>0</v>
      </c>
      <c r="DF64" s="2">
        <v>0</v>
      </c>
    </row>
    <row r="65" spans="1:110" ht="51" x14ac:dyDescent="0.2">
      <c r="A65" s="2" t="s">
        <v>217</v>
      </c>
      <c r="B65" s="2" t="s">
        <v>2</v>
      </c>
      <c r="D65" s="2" t="s">
        <v>59</v>
      </c>
      <c r="E65" s="2" t="str">
        <f t="shared" si="1"/>
        <v>Weichfaser-, Spanplatten, Sperrholz Weichfaserplatten  - RER</v>
      </c>
      <c r="F65" s="2" t="s">
        <v>142</v>
      </c>
      <c r="G65" s="2">
        <f>HLOOKUP($H65,'LCIA Daten manuell'!$A$1:$CU$3,3,FALSE)/1000</f>
        <v>0.14799999999999999</v>
      </c>
      <c r="H65" s="55" t="s">
        <v>186</v>
      </c>
      <c r="I65" s="36">
        <v>1</v>
      </c>
      <c r="J65" s="36">
        <v>1</v>
      </c>
      <c r="K65" s="36">
        <v>1</v>
      </c>
      <c r="L65" s="2">
        <v>0</v>
      </c>
      <c r="M65" s="2">
        <v>0</v>
      </c>
      <c r="N65" s="2">
        <v>0</v>
      </c>
      <c r="O65" s="2">
        <v>0</v>
      </c>
      <c r="P65" s="2">
        <v>0</v>
      </c>
      <c r="Q65" s="2">
        <v>0</v>
      </c>
      <c r="R65" s="2">
        <v>0</v>
      </c>
      <c r="S65" s="2">
        <v>0</v>
      </c>
      <c r="T65" s="2">
        <v>0</v>
      </c>
      <c r="U65" s="2">
        <v>0</v>
      </c>
      <c r="V65" s="2">
        <v>0</v>
      </c>
      <c r="W65" s="2">
        <v>0</v>
      </c>
      <c r="X65" s="2">
        <v>0</v>
      </c>
      <c r="Y65" s="2">
        <v>0</v>
      </c>
      <c r="Z65" s="2">
        <v>0</v>
      </c>
      <c r="AA65" s="2">
        <v>0</v>
      </c>
      <c r="AB65" s="2">
        <v>0</v>
      </c>
      <c r="AC65" s="2">
        <v>0</v>
      </c>
      <c r="AD65" s="2">
        <v>0</v>
      </c>
      <c r="AE65" s="2">
        <v>0</v>
      </c>
      <c r="AF65" s="2">
        <v>0</v>
      </c>
      <c r="AG65" s="2">
        <v>0</v>
      </c>
      <c r="AH65" s="2">
        <v>0</v>
      </c>
      <c r="AI65" s="2">
        <v>0</v>
      </c>
      <c r="AJ65" s="2">
        <v>0</v>
      </c>
      <c r="AK65" s="2">
        <v>0</v>
      </c>
      <c r="AL65" s="2">
        <v>0</v>
      </c>
      <c r="AM65" s="2">
        <v>0</v>
      </c>
      <c r="AN65" s="37">
        <v>0</v>
      </c>
      <c r="AO65" s="2">
        <v>0</v>
      </c>
      <c r="AP65" s="2">
        <v>0</v>
      </c>
      <c r="AQ65" s="2">
        <v>0</v>
      </c>
      <c r="AR65" s="2">
        <v>0</v>
      </c>
      <c r="AS65" s="2">
        <v>0</v>
      </c>
      <c r="AT65" s="2">
        <v>0</v>
      </c>
      <c r="AU65" s="2">
        <v>0</v>
      </c>
      <c r="AV65" s="2">
        <v>0</v>
      </c>
      <c r="AW65" s="2">
        <v>0</v>
      </c>
      <c r="AX65" s="2">
        <v>0</v>
      </c>
      <c r="AY65" s="2">
        <v>0</v>
      </c>
      <c r="AZ65" s="2">
        <v>0</v>
      </c>
      <c r="BA65" s="2">
        <v>0</v>
      </c>
      <c r="BB65" s="2">
        <v>0</v>
      </c>
      <c r="BC65" s="2">
        <v>0</v>
      </c>
      <c r="BD65" s="2">
        <v>0</v>
      </c>
      <c r="BE65" s="2">
        <v>0</v>
      </c>
      <c r="BF65" s="2">
        <v>0</v>
      </c>
      <c r="BG65" s="2">
        <v>0</v>
      </c>
      <c r="BH65" s="2">
        <v>0</v>
      </c>
      <c r="BI65" s="2">
        <v>0</v>
      </c>
      <c r="BJ65" s="2">
        <v>0</v>
      </c>
      <c r="BK65" s="2">
        <v>0</v>
      </c>
      <c r="BL65" s="2">
        <v>0</v>
      </c>
      <c r="BM65" s="2">
        <v>0</v>
      </c>
      <c r="BN65" s="2">
        <v>0</v>
      </c>
      <c r="BO65" s="2">
        <v>0</v>
      </c>
      <c r="BP65" s="2">
        <v>0</v>
      </c>
      <c r="BQ65" s="2">
        <v>0</v>
      </c>
      <c r="BR65" s="2">
        <v>0</v>
      </c>
      <c r="BS65" s="2">
        <v>0</v>
      </c>
      <c r="BT65" s="2">
        <v>0</v>
      </c>
      <c r="BU65" s="2">
        <v>0</v>
      </c>
      <c r="BV65" s="2">
        <v>0</v>
      </c>
      <c r="BW65" s="2">
        <v>0</v>
      </c>
      <c r="BX65" s="2">
        <v>0</v>
      </c>
      <c r="BY65" s="2">
        <v>0</v>
      </c>
      <c r="BZ65" s="2">
        <v>0</v>
      </c>
      <c r="CA65" s="2">
        <v>0</v>
      </c>
      <c r="CB65" s="2">
        <v>0</v>
      </c>
      <c r="CC65" s="117">
        <f>1-CF65</f>
        <v>1</v>
      </c>
      <c r="CD65" s="2">
        <v>0</v>
      </c>
      <c r="CE65" s="2">
        <v>0</v>
      </c>
      <c r="CF65" s="117">
        <f>Eingabemaske!$D$17</f>
        <v>0</v>
      </c>
      <c r="CG65" s="2">
        <v>0</v>
      </c>
      <c r="CH65" s="2">
        <v>0</v>
      </c>
      <c r="CI65" s="2">
        <v>0</v>
      </c>
      <c r="CJ65" s="2">
        <v>0</v>
      </c>
      <c r="CK65" s="2">
        <v>0</v>
      </c>
      <c r="CL65" s="2">
        <v>0</v>
      </c>
      <c r="CM65" s="2">
        <v>0</v>
      </c>
      <c r="CN65" s="2">
        <v>0</v>
      </c>
      <c r="CO65" s="2">
        <v>0</v>
      </c>
      <c r="CP65" s="2">
        <v>0</v>
      </c>
      <c r="CQ65" s="2">
        <v>0</v>
      </c>
      <c r="CR65" s="2">
        <v>0</v>
      </c>
      <c r="CS65" s="2">
        <v>0</v>
      </c>
      <c r="CT65" s="2">
        <v>0</v>
      </c>
      <c r="CU65" s="2">
        <v>0</v>
      </c>
      <c r="CV65" s="2">
        <v>0</v>
      </c>
      <c r="CW65" s="2">
        <v>0</v>
      </c>
      <c r="CX65" s="2">
        <v>0</v>
      </c>
      <c r="CY65" s="2">
        <v>0</v>
      </c>
      <c r="CZ65" s="2">
        <v>0</v>
      </c>
      <c r="DA65" s="2">
        <v>0</v>
      </c>
      <c r="DB65" s="57">
        <f>$G65*1000</f>
        <v>148</v>
      </c>
      <c r="DC65" s="2">
        <v>0</v>
      </c>
      <c r="DD65" s="2">
        <v>0</v>
      </c>
      <c r="DE65" s="2">
        <v>0</v>
      </c>
      <c r="DF65" s="2">
        <v>0</v>
      </c>
    </row>
    <row r="66" spans="1:110" ht="51" x14ac:dyDescent="0.2">
      <c r="A66" s="2" t="s">
        <v>217</v>
      </c>
      <c r="B66" s="2" t="s">
        <v>272</v>
      </c>
      <c r="D66" s="2" t="s">
        <v>58</v>
      </c>
      <c r="E66" s="2" t="str">
        <f t="shared" si="1"/>
        <v>Weichfaser-, Spanplatten, Sperrholz Spanplatten, beschichtet  - CH</v>
      </c>
      <c r="F66" s="2" t="s">
        <v>142</v>
      </c>
      <c r="G66" s="2">
        <f>HLOOKUP($H66,'LCIA Daten manuell'!$A$1:$CU$3,3,FALSE)/1000</f>
        <v>0.64</v>
      </c>
      <c r="H66" s="55" t="str">
        <f>'LCIA Daten manuell'!$BR$1</f>
        <v>particleboard 18 mm, average glue mix, melamine faced, at regional storage - CH</v>
      </c>
      <c r="I66" s="36">
        <v>1</v>
      </c>
      <c r="J66" s="36">
        <v>1</v>
      </c>
      <c r="K66" s="36">
        <v>1</v>
      </c>
      <c r="L66" s="2">
        <v>0</v>
      </c>
      <c r="M66" s="2">
        <v>0</v>
      </c>
      <c r="N66" s="2">
        <v>0</v>
      </c>
      <c r="O66" s="2">
        <v>0</v>
      </c>
      <c r="P66" s="2">
        <f>-233*G66</f>
        <v>-149.12</v>
      </c>
      <c r="Q66" s="2">
        <v>0</v>
      </c>
      <c r="R66" s="2">
        <v>0</v>
      </c>
      <c r="S66" s="2">
        <v>0</v>
      </c>
      <c r="T66" s="2">
        <v>0</v>
      </c>
      <c r="U66" s="2">
        <v>0</v>
      </c>
      <c r="V66" s="2">
        <v>0</v>
      </c>
      <c r="W66" s="2">
        <v>0</v>
      </c>
      <c r="X66" s="2">
        <v>0</v>
      </c>
      <c r="Y66" s="2">
        <v>0</v>
      </c>
      <c r="Z66" s="2">
        <v>0</v>
      </c>
      <c r="AA66" s="2">
        <v>0</v>
      </c>
      <c r="AB66" s="2">
        <v>0</v>
      </c>
      <c r="AC66" s="2">
        <v>0</v>
      </c>
      <c r="AD66" s="2">
        <v>0</v>
      </c>
      <c r="AE66" s="2">
        <v>0</v>
      </c>
      <c r="AF66" s="2">
        <v>0</v>
      </c>
      <c r="AG66" s="2">
        <v>0</v>
      </c>
      <c r="AH66" s="2">
        <v>0</v>
      </c>
      <c r="AI66" s="2">
        <v>0</v>
      </c>
      <c r="AJ66" s="2">
        <v>0</v>
      </c>
      <c r="AK66" s="2">
        <v>0</v>
      </c>
      <c r="AL66" s="2">
        <v>0</v>
      </c>
      <c r="AM66" s="2">
        <v>0</v>
      </c>
      <c r="AN66" s="37">
        <v>0</v>
      </c>
      <c r="AO66" s="2">
        <v>0</v>
      </c>
      <c r="AP66" s="2">
        <v>0</v>
      </c>
      <c r="AQ66" s="2">
        <v>0</v>
      </c>
      <c r="AR66" s="2">
        <v>0</v>
      </c>
      <c r="AS66" s="2">
        <v>0</v>
      </c>
      <c r="AT66" s="2">
        <v>0</v>
      </c>
      <c r="AU66" s="2">
        <v>0</v>
      </c>
      <c r="AV66" s="2">
        <v>0</v>
      </c>
      <c r="AW66" s="2">
        <v>0</v>
      </c>
      <c r="AX66" s="2">
        <v>0</v>
      </c>
      <c r="AY66" s="2">
        <v>0</v>
      </c>
      <c r="AZ66" s="2">
        <v>0</v>
      </c>
      <c r="BA66" s="2">
        <v>0</v>
      </c>
      <c r="BB66" s="2">
        <v>0</v>
      </c>
      <c r="BC66" s="2">
        <v>0</v>
      </c>
      <c r="BD66" s="2">
        <v>0</v>
      </c>
      <c r="BE66" s="2">
        <v>0</v>
      </c>
      <c r="BF66" s="2">
        <v>0</v>
      </c>
      <c r="BG66" s="2">
        <v>0</v>
      </c>
      <c r="BH66" s="2">
        <v>0</v>
      </c>
      <c r="BI66" s="2">
        <v>0</v>
      </c>
      <c r="BJ66" s="2">
        <v>0</v>
      </c>
      <c r="BK66" s="2">
        <v>0</v>
      </c>
      <c r="BL66" s="2">
        <v>0</v>
      </c>
      <c r="BM66" s="2">
        <v>0</v>
      </c>
      <c r="BN66" s="2">
        <v>0</v>
      </c>
      <c r="BO66" s="2">
        <v>0</v>
      </c>
      <c r="BP66" s="2">
        <v>0</v>
      </c>
      <c r="BQ66" s="2">
        <v>0</v>
      </c>
      <c r="BR66" s="2">
        <v>0</v>
      </c>
      <c r="BS66" s="2">
        <v>0</v>
      </c>
      <c r="BT66" s="2">
        <v>0</v>
      </c>
      <c r="BU66" s="2">
        <v>0</v>
      </c>
      <c r="BV66" s="2">
        <v>0</v>
      </c>
      <c r="BW66" s="2">
        <v>0</v>
      </c>
      <c r="BX66" s="2">
        <v>0</v>
      </c>
      <c r="BY66" s="2">
        <v>0</v>
      </c>
      <c r="BZ66" s="2">
        <v>0</v>
      </c>
      <c r="CA66" s="2">
        <v>0</v>
      </c>
      <c r="CB66" s="2">
        <v>1</v>
      </c>
      <c r="CC66" s="2">
        <v>0</v>
      </c>
      <c r="CD66" s="2">
        <v>0</v>
      </c>
      <c r="CE66" s="2">
        <v>0</v>
      </c>
      <c r="CF66" s="2">
        <v>0</v>
      </c>
      <c r="CG66" s="2">
        <v>0</v>
      </c>
      <c r="CH66" s="2">
        <v>0</v>
      </c>
      <c r="CI66" s="2">
        <v>0</v>
      </c>
      <c r="CJ66" s="2">
        <v>0</v>
      </c>
      <c r="CK66" s="2">
        <v>0</v>
      </c>
      <c r="CL66" s="2">
        <v>0</v>
      </c>
      <c r="CM66" s="2">
        <v>0</v>
      </c>
      <c r="CN66" s="2">
        <v>0</v>
      </c>
      <c r="CO66" s="2">
        <v>0</v>
      </c>
      <c r="CP66" s="2">
        <v>0</v>
      </c>
      <c r="CQ66" s="2">
        <v>0</v>
      </c>
      <c r="CR66" s="2">
        <v>0</v>
      </c>
      <c r="CS66" s="2">
        <v>0</v>
      </c>
      <c r="CT66" s="2">
        <v>0</v>
      </c>
      <c r="CU66" s="2">
        <v>0</v>
      </c>
      <c r="CV66" s="2">
        <v>0</v>
      </c>
      <c r="CW66" s="2">
        <v>0</v>
      </c>
      <c r="CX66" s="2">
        <v>0</v>
      </c>
      <c r="CY66" s="2">
        <v>0</v>
      </c>
      <c r="CZ66" s="2">
        <v>0</v>
      </c>
      <c r="DA66" s="2">
        <v>0</v>
      </c>
      <c r="DB66" s="2">
        <v>0</v>
      </c>
      <c r="DC66" s="60">
        <v>0</v>
      </c>
      <c r="DD66" s="2">
        <v>0</v>
      </c>
      <c r="DE66" s="2">
        <v>0</v>
      </c>
      <c r="DF66" s="57">
        <f t="shared" ref="DF66:DF67" si="11">$G66*1000</f>
        <v>640</v>
      </c>
    </row>
    <row r="67" spans="1:110" ht="51" x14ac:dyDescent="0.2">
      <c r="A67" s="2" t="s">
        <v>217</v>
      </c>
      <c r="B67" s="2" t="s">
        <v>272</v>
      </c>
      <c r="D67" s="2" t="s">
        <v>59</v>
      </c>
      <c r="E67" s="2" t="str">
        <f t="shared" ref="E67:E68" si="12">CONCATENATE(A67," ",B67," ",C67," - ",D67)</f>
        <v>Weichfaser-, Spanplatten, Sperrholz Spanplatten, beschichtet  - RER</v>
      </c>
      <c r="F67" s="2" t="s">
        <v>142</v>
      </c>
      <c r="G67" s="2">
        <f>HLOOKUP($H67,'LCIA Daten manuell'!$A$1:$CU$3,3,FALSE)/1000</f>
        <v>0.64</v>
      </c>
      <c r="H67" s="55" t="str">
        <f>'LCIA Daten manuell'!$BR$1</f>
        <v>particleboard 18 mm, average glue mix, melamine faced, at regional storage - CH</v>
      </c>
      <c r="I67" s="36">
        <v>1</v>
      </c>
      <c r="J67" s="36">
        <v>1</v>
      </c>
      <c r="K67" s="36">
        <v>1</v>
      </c>
      <c r="L67" s="2">
        <v>0</v>
      </c>
      <c r="M67" s="2">
        <v>0</v>
      </c>
      <c r="N67" s="2">
        <v>0</v>
      </c>
      <c r="O67" s="2">
        <v>0</v>
      </c>
      <c r="P67" s="2">
        <f>-233*G67</f>
        <v>-149.12</v>
      </c>
      <c r="Q67" s="2">
        <v>0</v>
      </c>
      <c r="R67" s="2">
        <v>0</v>
      </c>
      <c r="S67" s="2">
        <v>0</v>
      </c>
      <c r="T67" s="2">
        <v>0</v>
      </c>
      <c r="U67" s="2">
        <v>0</v>
      </c>
      <c r="V67" s="2">
        <v>0</v>
      </c>
      <c r="W67" s="2">
        <v>0</v>
      </c>
      <c r="X67" s="2">
        <v>0</v>
      </c>
      <c r="Y67" s="2">
        <v>0</v>
      </c>
      <c r="Z67" s="2">
        <v>0</v>
      </c>
      <c r="AA67" s="2">
        <v>0</v>
      </c>
      <c r="AB67" s="2">
        <v>0</v>
      </c>
      <c r="AC67" s="2">
        <v>0</v>
      </c>
      <c r="AD67" s="2">
        <v>0</v>
      </c>
      <c r="AE67" s="2">
        <v>0</v>
      </c>
      <c r="AF67" s="2">
        <v>0</v>
      </c>
      <c r="AG67" s="2">
        <v>0</v>
      </c>
      <c r="AH67" s="2">
        <v>0</v>
      </c>
      <c r="AI67" s="2">
        <v>0</v>
      </c>
      <c r="AJ67" s="2">
        <v>0</v>
      </c>
      <c r="AK67" s="2">
        <v>0</v>
      </c>
      <c r="AL67" s="2">
        <v>0</v>
      </c>
      <c r="AM67" s="2">
        <v>0</v>
      </c>
      <c r="AN67" s="37">
        <v>0</v>
      </c>
      <c r="AO67" s="2">
        <v>0</v>
      </c>
      <c r="AP67" s="2">
        <v>0</v>
      </c>
      <c r="AQ67" s="2">
        <v>0</v>
      </c>
      <c r="AR67" s="2">
        <v>0</v>
      </c>
      <c r="AS67" s="2">
        <v>0</v>
      </c>
      <c r="AT67" s="2">
        <v>0</v>
      </c>
      <c r="AU67" s="2">
        <v>0</v>
      </c>
      <c r="AV67" s="2">
        <v>0</v>
      </c>
      <c r="AW67" s="2">
        <v>0</v>
      </c>
      <c r="AX67" s="2">
        <v>0</v>
      </c>
      <c r="AY67" s="2">
        <v>0</v>
      </c>
      <c r="AZ67" s="2">
        <v>0</v>
      </c>
      <c r="BA67" s="2">
        <v>0</v>
      </c>
      <c r="BB67" s="2">
        <v>0</v>
      </c>
      <c r="BC67" s="2">
        <v>0</v>
      </c>
      <c r="BD67" s="2">
        <v>0</v>
      </c>
      <c r="BE67" s="2">
        <v>0</v>
      </c>
      <c r="BF67" s="2">
        <v>0</v>
      </c>
      <c r="BG67" s="2">
        <v>0</v>
      </c>
      <c r="BH67" s="2">
        <v>0</v>
      </c>
      <c r="BI67" s="2">
        <v>0</v>
      </c>
      <c r="BJ67" s="2">
        <v>0</v>
      </c>
      <c r="BK67" s="2">
        <v>0</v>
      </c>
      <c r="BL67" s="2">
        <v>0</v>
      </c>
      <c r="BM67" s="2">
        <v>0</v>
      </c>
      <c r="BN67" s="2">
        <v>0</v>
      </c>
      <c r="BO67" s="2">
        <v>0</v>
      </c>
      <c r="BP67" s="2">
        <v>0</v>
      </c>
      <c r="BQ67" s="2">
        <v>0</v>
      </c>
      <c r="BR67" s="2">
        <v>0</v>
      </c>
      <c r="BS67" s="2">
        <v>0</v>
      </c>
      <c r="BT67" s="2">
        <v>0</v>
      </c>
      <c r="BU67" s="2">
        <v>0</v>
      </c>
      <c r="BV67" s="2">
        <v>0</v>
      </c>
      <c r="BW67" s="2">
        <v>0</v>
      </c>
      <c r="BX67" s="2">
        <v>0</v>
      </c>
      <c r="BY67" s="2">
        <v>0</v>
      </c>
      <c r="BZ67" s="2">
        <v>0</v>
      </c>
      <c r="CA67" s="2">
        <v>0</v>
      </c>
      <c r="CB67" s="2">
        <v>1</v>
      </c>
      <c r="CC67" s="2">
        <v>0</v>
      </c>
      <c r="CD67" s="2">
        <v>0</v>
      </c>
      <c r="CE67" s="2">
        <v>0</v>
      </c>
      <c r="CF67" s="2">
        <v>0</v>
      </c>
      <c r="CG67" s="2">
        <v>0</v>
      </c>
      <c r="CH67" s="2">
        <v>0</v>
      </c>
      <c r="CI67" s="2">
        <v>0</v>
      </c>
      <c r="CJ67" s="2">
        <v>0</v>
      </c>
      <c r="CK67" s="2">
        <v>0</v>
      </c>
      <c r="CL67" s="2">
        <v>0</v>
      </c>
      <c r="CM67" s="2">
        <v>0</v>
      </c>
      <c r="CN67" s="2">
        <v>0</v>
      </c>
      <c r="CO67" s="2">
        <v>0</v>
      </c>
      <c r="CP67" s="2">
        <v>0</v>
      </c>
      <c r="CQ67" s="2">
        <v>0</v>
      </c>
      <c r="CR67" s="2">
        <v>0</v>
      </c>
      <c r="CS67" s="2">
        <v>0</v>
      </c>
      <c r="CT67" s="2">
        <v>0</v>
      </c>
      <c r="CU67" s="2">
        <v>0</v>
      </c>
      <c r="CV67" s="2">
        <v>0</v>
      </c>
      <c r="CW67" s="2">
        <v>0</v>
      </c>
      <c r="CX67" s="2">
        <v>0</v>
      </c>
      <c r="CY67" s="2">
        <v>0</v>
      </c>
      <c r="CZ67" s="2">
        <v>0</v>
      </c>
      <c r="DA67" s="2">
        <v>0</v>
      </c>
      <c r="DB67" s="2">
        <v>0</v>
      </c>
      <c r="DC67" s="60">
        <v>0</v>
      </c>
      <c r="DD67" s="2">
        <v>0</v>
      </c>
      <c r="DE67" s="2">
        <v>0</v>
      </c>
      <c r="DF67" s="57">
        <f t="shared" si="11"/>
        <v>640</v>
      </c>
    </row>
    <row r="68" spans="1:110" ht="51" x14ac:dyDescent="0.2">
      <c r="A68" s="2" t="s">
        <v>217</v>
      </c>
      <c r="B68" s="2" t="s">
        <v>190</v>
      </c>
      <c r="D68" s="2" t="s">
        <v>58</v>
      </c>
      <c r="E68" s="2" t="str">
        <f t="shared" si="12"/>
        <v>Weichfaser-, Spanplatten, Sperrholz Spanplatten, unbeschichtet  - CH</v>
      </c>
      <c r="F68" s="2" t="s">
        <v>142</v>
      </c>
      <c r="G68" s="2">
        <f>HLOOKUP($H68,'LCIA Daten manuell'!$A$1:$CU$3,3,FALSE)/1000</f>
        <v>0.64</v>
      </c>
      <c r="H68" s="2" t="str">
        <f t="shared" ref="H68:H83" si="13">INDEX(L$2:DG$2,1,MATCH(1,L68:DG68,0))</f>
        <v>particleboard, average glue mix, uncoated, at plant - RER</v>
      </c>
      <c r="I68" s="36">
        <v>1</v>
      </c>
      <c r="J68" s="36">
        <v>1</v>
      </c>
      <c r="K68" s="36">
        <v>1</v>
      </c>
      <c r="L68" s="2">
        <v>0</v>
      </c>
      <c r="M68" s="2">
        <v>0</v>
      </c>
      <c r="N68" s="2">
        <v>0</v>
      </c>
      <c r="O68" s="2">
        <v>0</v>
      </c>
      <c r="P68" s="2">
        <v>0</v>
      </c>
      <c r="Q68" s="2">
        <v>0</v>
      </c>
      <c r="R68" s="2">
        <v>0</v>
      </c>
      <c r="S68" s="2">
        <v>0</v>
      </c>
      <c r="T68" s="2">
        <v>0</v>
      </c>
      <c r="U68" s="2">
        <v>0</v>
      </c>
      <c r="V68" s="2">
        <v>0</v>
      </c>
      <c r="W68" s="2">
        <v>0</v>
      </c>
      <c r="X68" s="2">
        <v>0</v>
      </c>
      <c r="Y68" s="2">
        <v>0</v>
      </c>
      <c r="Z68" s="2">
        <v>0</v>
      </c>
      <c r="AA68" s="2">
        <v>0</v>
      </c>
      <c r="AB68" s="2">
        <v>0</v>
      </c>
      <c r="AC68" s="2">
        <v>0</v>
      </c>
      <c r="AD68" s="2">
        <v>0</v>
      </c>
      <c r="AE68" s="2">
        <v>0</v>
      </c>
      <c r="AF68" s="2">
        <v>0</v>
      </c>
      <c r="AG68" s="2">
        <v>0</v>
      </c>
      <c r="AH68" s="2">
        <v>0</v>
      </c>
      <c r="AI68" s="2">
        <v>0</v>
      </c>
      <c r="AJ68" s="2">
        <v>0</v>
      </c>
      <c r="AK68" s="2">
        <v>0</v>
      </c>
      <c r="AL68" s="2">
        <v>0</v>
      </c>
      <c r="AM68" s="2">
        <v>0</v>
      </c>
      <c r="AN68" s="37">
        <v>0</v>
      </c>
      <c r="AO68" s="2">
        <v>0</v>
      </c>
      <c r="AP68" s="2">
        <v>0</v>
      </c>
      <c r="AQ68" s="2">
        <v>0</v>
      </c>
      <c r="AR68" s="2">
        <v>0</v>
      </c>
      <c r="AS68" s="2">
        <v>0</v>
      </c>
      <c r="AT68" s="2">
        <v>0</v>
      </c>
      <c r="AU68" s="2">
        <v>0</v>
      </c>
      <c r="AV68" s="2">
        <v>0</v>
      </c>
      <c r="AW68" s="2">
        <v>0</v>
      </c>
      <c r="AX68" s="2">
        <v>0</v>
      </c>
      <c r="AY68" s="2">
        <v>0</v>
      </c>
      <c r="AZ68" s="2">
        <v>0</v>
      </c>
      <c r="BA68" s="2">
        <v>0</v>
      </c>
      <c r="BB68" s="2">
        <v>0</v>
      </c>
      <c r="BC68" s="2">
        <v>0</v>
      </c>
      <c r="BD68" s="2">
        <v>0</v>
      </c>
      <c r="BE68" s="2">
        <v>0</v>
      </c>
      <c r="BF68" s="2">
        <v>0</v>
      </c>
      <c r="BG68" s="2">
        <v>0</v>
      </c>
      <c r="BH68" s="2">
        <v>0</v>
      </c>
      <c r="BI68" s="2">
        <v>0</v>
      </c>
      <c r="BJ68" s="2">
        <v>0</v>
      </c>
      <c r="BK68" s="2">
        <v>0</v>
      </c>
      <c r="BL68" s="2">
        <v>0</v>
      </c>
      <c r="BM68" s="2">
        <v>0</v>
      </c>
      <c r="BN68" s="2">
        <v>0</v>
      </c>
      <c r="BO68" s="2">
        <v>0</v>
      </c>
      <c r="BP68" s="2">
        <v>0</v>
      </c>
      <c r="BQ68" s="2">
        <v>0</v>
      </c>
      <c r="BR68" s="2">
        <v>0</v>
      </c>
      <c r="BS68" s="2">
        <v>0</v>
      </c>
      <c r="BT68" s="2">
        <v>0</v>
      </c>
      <c r="BU68" s="2">
        <v>0</v>
      </c>
      <c r="BV68" s="2">
        <v>0</v>
      </c>
      <c r="BW68" s="2">
        <v>0</v>
      </c>
      <c r="BX68" s="2">
        <v>0</v>
      </c>
      <c r="BY68" s="2">
        <v>0</v>
      </c>
      <c r="BZ68" s="2">
        <v>0</v>
      </c>
      <c r="CA68" s="2">
        <v>0</v>
      </c>
      <c r="CB68" s="2">
        <v>0</v>
      </c>
      <c r="CC68" s="2">
        <v>0</v>
      </c>
      <c r="CD68" s="2">
        <v>0</v>
      </c>
      <c r="CE68" s="2">
        <v>1</v>
      </c>
      <c r="CF68" s="2">
        <v>0</v>
      </c>
      <c r="CG68" s="2">
        <v>0</v>
      </c>
      <c r="CH68" s="2">
        <v>0</v>
      </c>
      <c r="CI68" s="2">
        <v>0</v>
      </c>
      <c r="CJ68" s="2">
        <v>0</v>
      </c>
      <c r="CK68" s="2">
        <v>0</v>
      </c>
      <c r="CL68" s="2">
        <v>0</v>
      </c>
      <c r="CM68" s="2">
        <v>0</v>
      </c>
      <c r="CN68" s="2">
        <v>0</v>
      </c>
      <c r="CO68" s="2">
        <v>0</v>
      </c>
      <c r="CP68" s="2">
        <v>0</v>
      </c>
      <c r="CQ68" s="2">
        <v>0</v>
      </c>
      <c r="CR68" s="2">
        <v>0</v>
      </c>
      <c r="CS68" s="2">
        <v>0</v>
      </c>
      <c r="CT68" s="2">
        <v>0</v>
      </c>
      <c r="CU68" s="2">
        <v>0</v>
      </c>
      <c r="CV68" s="2">
        <v>0</v>
      </c>
      <c r="CW68" s="2">
        <v>0</v>
      </c>
      <c r="CX68" s="2">
        <v>0</v>
      </c>
      <c r="CY68" s="2">
        <v>0</v>
      </c>
      <c r="CZ68" s="2">
        <v>0</v>
      </c>
      <c r="DA68" s="2">
        <v>0</v>
      </c>
      <c r="DB68" s="2">
        <v>0</v>
      </c>
      <c r="DC68" s="57">
        <f t="shared" ref="DC68:DC77" si="14">$G68*1000</f>
        <v>640</v>
      </c>
      <c r="DD68" s="2">
        <v>0</v>
      </c>
      <c r="DE68" s="2">
        <v>0</v>
      </c>
      <c r="DF68" s="2">
        <v>0</v>
      </c>
    </row>
    <row r="69" spans="1:110" ht="51" x14ac:dyDescent="0.2">
      <c r="A69" s="2" t="s">
        <v>217</v>
      </c>
      <c r="B69" s="2" t="s">
        <v>190</v>
      </c>
      <c r="D69" s="2" t="s">
        <v>59</v>
      </c>
      <c r="E69" s="2" t="str">
        <f t="shared" si="1"/>
        <v>Weichfaser-, Spanplatten, Sperrholz Spanplatten, unbeschichtet  - RER</v>
      </c>
      <c r="F69" s="2" t="s">
        <v>142</v>
      </c>
      <c r="G69" s="2">
        <f>HLOOKUP($H69,'LCIA Daten manuell'!$A$1:$CU$3,3,FALSE)/1000</f>
        <v>0.64</v>
      </c>
      <c r="H69" s="2" t="str">
        <f t="shared" si="13"/>
        <v>particleboard, average glue mix, uncoated, at plant - RER</v>
      </c>
      <c r="I69" s="36">
        <v>1</v>
      </c>
      <c r="J69" s="36">
        <v>1</v>
      </c>
      <c r="K69" s="36">
        <v>1</v>
      </c>
      <c r="L69" s="2">
        <v>0</v>
      </c>
      <c r="M69" s="2">
        <v>0</v>
      </c>
      <c r="N69" s="2">
        <v>0</v>
      </c>
      <c r="O69" s="2">
        <v>0</v>
      </c>
      <c r="P69" s="2">
        <v>0</v>
      </c>
      <c r="Q69" s="2">
        <v>0</v>
      </c>
      <c r="R69" s="2">
        <v>0</v>
      </c>
      <c r="S69" s="2">
        <v>0</v>
      </c>
      <c r="T69" s="2">
        <v>0</v>
      </c>
      <c r="U69" s="2">
        <v>0</v>
      </c>
      <c r="V69" s="2">
        <v>0</v>
      </c>
      <c r="W69" s="2">
        <v>0</v>
      </c>
      <c r="X69" s="2">
        <v>0</v>
      </c>
      <c r="Y69" s="2">
        <v>0</v>
      </c>
      <c r="Z69" s="2">
        <v>0</v>
      </c>
      <c r="AA69" s="2">
        <v>0</v>
      </c>
      <c r="AB69" s="2">
        <v>0</v>
      </c>
      <c r="AC69" s="2">
        <v>0</v>
      </c>
      <c r="AD69" s="2">
        <v>0</v>
      </c>
      <c r="AE69" s="2">
        <v>0</v>
      </c>
      <c r="AF69" s="2">
        <v>0</v>
      </c>
      <c r="AG69" s="2">
        <v>0</v>
      </c>
      <c r="AH69" s="2">
        <v>0</v>
      </c>
      <c r="AI69" s="2">
        <v>0</v>
      </c>
      <c r="AJ69" s="2">
        <v>0</v>
      </c>
      <c r="AK69" s="2">
        <v>0</v>
      </c>
      <c r="AL69" s="2">
        <v>0</v>
      </c>
      <c r="AM69" s="2">
        <v>0</v>
      </c>
      <c r="AN69" s="37">
        <v>0</v>
      </c>
      <c r="AO69" s="2">
        <v>0</v>
      </c>
      <c r="AP69" s="2">
        <v>0</v>
      </c>
      <c r="AQ69" s="2">
        <v>0</v>
      </c>
      <c r="AR69" s="2">
        <v>0</v>
      </c>
      <c r="AS69" s="2">
        <v>0</v>
      </c>
      <c r="AT69" s="2">
        <v>0</v>
      </c>
      <c r="AU69" s="2">
        <v>0</v>
      </c>
      <c r="AV69" s="2">
        <v>0</v>
      </c>
      <c r="AW69" s="2">
        <v>0</v>
      </c>
      <c r="AX69" s="2">
        <v>0</v>
      </c>
      <c r="AY69" s="2">
        <v>0</v>
      </c>
      <c r="AZ69" s="2">
        <v>0</v>
      </c>
      <c r="BA69" s="2">
        <v>0</v>
      </c>
      <c r="BB69" s="2">
        <v>0</v>
      </c>
      <c r="BC69" s="2">
        <v>0</v>
      </c>
      <c r="BD69" s="2">
        <v>0</v>
      </c>
      <c r="BE69" s="2">
        <v>0</v>
      </c>
      <c r="BF69" s="2">
        <v>0</v>
      </c>
      <c r="BG69" s="2">
        <v>0</v>
      </c>
      <c r="BH69" s="2">
        <v>0</v>
      </c>
      <c r="BI69" s="2">
        <v>0</v>
      </c>
      <c r="BJ69" s="2">
        <v>0</v>
      </c>
      <c r="BK69" s="2">
        <v>0</v>
      </c>
      <c r="BL69" s="2">
        <v>0</v>
      </c>
      <c r="BM69" s="2">
        <v>0</v>
      </c>
      <c r="BN69" s="2">
        <v>0</v>
      </c>
      <c r="BO69" s="2">
        <v>0</v>
      </c>
      <c r="BP69" s="2">
        <v>0</v>
      </c>
      <c r="BQ69" s="2">
        <v>0</v>
      </c>
      <c r="BR69" s="2">
        <v>0</v>
      </c>
      <c r="BS69" s="2">
        <v>0</v>
      </c>
      <c r="BT69" s="2">
        <v>0</v>
      </c>
      <c r="BU69" s="2">
        <v>0</v>
      </c>
      <c r="BV69" s="2">
        <v>0</v>
      </c>
      <c r="BW69" s="2">
        <v>0</v>
      </c>
      <c r="BX69" s="2">
        <v>0</v>
      </c>
      <c r="BY69" s="2">
        <v>0</v>
      </c>
      <c r="BZ69" s="2">
        <v>0</v>
      </c>
      <c r="CA69" s="2">
        <v>0</v>
      </c>
      <c r="CB69" s="2">
        <v>0</v>
      </c>
      <c r="CC69" s="2">
        <v>0</v>
      </c>
      <c r="CD69" s="2">
        <v>0</v>
      </c>
      <c r="CE69" s="2">
        <v>1</v>
      </c>
      <c r="CF69" s="2">
        <v>0</v>
      </c>
      <c r="CG69" s="2">
        <v>0</v>
      </c>
      <c r="CH69" s="2">
        <v>0</v>
      </c>
      <c r="CI69" s="2">
        <v>0</v>
      </c>
      <c r="CJ69" s="2">
        <v>0</v>
      </c>
      <c r="CK69" s="2">
        <v>0</v>
      </c>
      <c r="CL69" s="2">
        <v>0</v>
      </c>
      <c r="CM69" s="2">
        <v>0</v>
      </c>
      <c r="CN69" s="2">
        <v>0</v>
      </c>
      <c r="CO69" s="2">
        <v>0</v>
      </c>
      <c r="CP69" s="2">
        <v>0</v>
      </c>
      <c r="CQ69" s="2">
        <v>0</v>
      </c>
      <c r="CR69" s="2">
        <v>0</v>
      </c>
      <c r="CS69" s="2">
        <v>0</v>
      </c>
      <c r="CT69" s="2">
        <v>0</v>
      </c>
      <c r="CU69" s="2">
        <v>0</v>
      </c>
      <c r="CV69" s="2">
        <v>0</v>
      </c>
      <c r="CW69" s="2">
        <v>0</v>
      </c>
      <c r="CX69" s="2">
        <v>0</v>
      </c>
      <c r="CY69" s="2">
        <v>0</v>
      </c>
      <c r="CZ69" s="2">
        <v>0</v>
      </c>
      <c r="DA69" s="2">
        <v>0</v>
      </c>
      <c r="DB69" s="2">
        <v>0</v>
      </c>
      <c r="DC69" s="57">
        <f t="shared" si="14"/>
        <v>640</v>
      </c>
      <c r="DD69" s="2">
        <v>0</v>
      </c>
      <c r="DE69" s="2">
        <v>0</v>
      </c>
      <c r="DF69" s="2">
        <v>0</v>
      </c>
    </row>
    <row r="70" spans="1:110" ht="51" x14ac:dyDescent="0.2">
      <c r="A70" s="2" t="s">
        <v>217</v>
      </c>
      <c r="B70" s="2" t="s">
        <v>191</v>
      </c>
      <c r="D70" s="2" t="s">
        <v>58</v>
      </c>
      <c r="E70" s="2" t="str">
        <f t="shared" ref="E70" si="15">CONCATENATE(A70," ",B70," ",C70," - ",D70)</f>
        <v>Weichfaser-, Spanplatten, Sperrholz Röhrenspanplatten  - CH</v>
      </c>
      <c r="F70" s="2" t="s">
        <v>142</v>
      </c>
      <c r="G70" s="2">
        <f>HLOOKUP($H70,'LCIA Daten manuell'!$A$1:$CU$3,3,FALSE)/1000</f>
        <v>0.27200000000000002</v>
      </c>
      <c r="H70" s="2" t="str">
        <f t="shared" si="13"/>
        <v>Tubular particleboard, at plant - RER</v>
      </c>
      <c r="I70" s="36">
        <v>1</v>
      </c>
      <c r="J70" s="36">
        <v>1</v>
      </c>
      <c r="K70" s="36">
        <v>1</v>
      </c>
      <c r="L70" s="2">
        <v>0</v>
      </c>
      <c r="M70" s="2">
        <v>0</v>
      </c>
      <c r="N70" s="2">
        <v>0</v>
      </c>
      <c r="O70" s="2">
        <v>0</v>
      </c>
      <c r="P70" s="2">
        <v>0</v>
      </c>
      <c r="Q70" s="2">
        <v>0</v>
      </c>
      <c r="R70" s="2">
        <v>0</v>
      </c>
      <c r="S70" s="2">
        <v>0</v>
      </c>
      <c r="T70" s="2">
        <v>0</v>
      </c>
      <c r="U70" s="2">
        <v>0</v>
      </c>
      <c r="V70" s="2">
        <v>0</v>
      </c>
      <c r="W70" s="2">
        <v>0</v>
      </c>
      <c r="X70" s="2">
        <v>0</v>
      </c>
      <c r="Y70" s="2">
        <v>0</v>
      </c>
      <c r="Z70" s="2">
        <v>0</v>
      </c>
      <c r="AA70" s="2">
        <v>0</v>
      </c>
      <c r="AB70" s="2">
        <v>0</v>
      </c>
      <c r="AC70" s="2">
        <v>0</v>
      </c>
      <c r="AD70" s="2">
        <v>0</v>
      </c>
      <c r="AE70" s="2">
        <v>0</v>
      </c>
      <c r="AF70" s="2">
        <v>0</v>
      </c>
      <c r="AG70" s="2">
        <v>0</v>
      </c>
      <c r="AH70" s="2">
        <v>0</v>
      </c>
      <c r="AI70" s="2">
        <v>0</v>
      </c>
      <c r="AJ70" s="2">
        <v>0</v>
      </c>
      <c r="AK70" s="2">
        <v>0</v>
      </c>
      <c r="AL70" s="2">
        <v>0</v>
      </c>
      <c r="AM70" s="2">
        <v>0</v>
      </c>
      <c r="AN70" s="37">
        <v>0</v>
      </c>
      <c r="AO70" s="2">
        <v>0</v>
      </c>
      <c r="AP70" s="2">
        <v>0</v>
      </c>
      <c r="AQ70" s="2">
        <v>0</v>
      </c>
      <c r="AR70" s="2">
        <v>0</v>
      </c>
      <c r="AS70" s="2">
        <v>0</v>
      </c>
      <c r="AT70" s="2">
        <v>0</v>
      </c>
      <c r="AU70" s="2">
        <v>0</v>
      </c>
      <c r="AV70" s="2">
        <v>0</v>
      </c>
      <c r="AW70" s="2">
        <v>0</v>
      </c>
      <c r="AX70" s="2">
        <v>0</v>
      </c>
      <c r="AY70" s="2">
        <v>0</v>
      </c>
      <c r="AZ70" s="2">
        <v>0</v>
      </c>
      <c r="BA70" s="2">
        <v>0</v>
      </c>
      <c r="BB70" s="2">
        <v>0</v>
      </c>
      <c r="BC70" s="2">
        <v>0</v>
      </c>
      <c r="BD70" s="2">
        <v>0</v>
      </c>
      <c r="BE70" s="2">
        <v>0</v>
      </c>
      <c r="BF70" s="2">
        <v>0</v>
      </c>
      <c r="BG70" s="2">
        <v>0</v>
      </c>
      <c r="BH70" s="2">
        <v>0</v>
      </c>
      <c r="BI70" s="2">
        <v>0</v>
      </c>
      <c r="BJ70" s="2">
        <v>0</v>
      </c>
      <c r="BK70" s="2">
        <v>0</v>
      </c>
      <c r="BL70" s="2">
        <v>0</v>
      </c>
      <c r="BM70" s="2">
        <v>0</v>
      </c>
      <c r="BN70" s="2">
        <v>0</v>
      </c>
      <c r="BO70" s="2">
        <v>0</v>
      </c>
      <c r="BP70" s="2">
        <v>0</v>
      </c>
      <c r="BQ70" s="2">
        <v>0</v>
      </c>
      <c r="BR70" s="2">
        <v>0</v>
      </c>
      <c r="BS70" s="2">
        <v>0</v>
      </c>
      <c r="BT70" s="2">
        <v>0</v>
      </c>
      <c r="BU70" s="2">
        <v>0</v>
      </c>
      <c r="BV70" s="2">
        <v>0</v>
      </c>
      <c r="BW70" s="2">
        <v>0</v>
      </c>
      <c r="BX70" s="2">
        <v>0</v>
      </c>
      <c r="BY70" s="2">
        <v>0</v>
      </c>
      <c r="BZ70" s="2">
        <v>0</v>
      </c>
      <c r="CA70" s="2">
        <v>0</v>
      </c>
      <c r="CB70" s="2">
        <v>0</v>
      </c>
      <c r="CC70" s="2">
        <v>0</v>
      </c>
      <c r="CD70" s="2">
        <v>1</v>
      </c>
      <c r="CE70" s="2">
        <v>0</v>
      </c>
      <c r="CF70" s="2">
        <v>0</v>
      </c>
      <c r="CG70" s="2">
        <v>0</v>
      </c>
      <c r="CH70" s="2">
        <v>0</v>
      </c>
      <c r="CI70" s="2">
        <v>0</v>
      </c>
      <c r="CJ70" s="2">
        <v>0</v>
      </c>
      <c r="CK70" s="2">
        <v>0</v>
      </c>
      <c r="CL70" s="2">
        <v>0</v>
      </c>
      <c r="CM70" s="2">
        <v>0</v>
      </c>
      <c r="CN70" s="2">
        <v>0</v>
      </c>
      <c r="CO70" s="2">
        <v>0</v>
      </c>
      <c r="CP70" s="2">
        <v>0</v>
      </c>
      <c r="CQ70" s="2">
        <v>0</v>
      </c>
      <c r="CR70" s="2">
        <v>0</v>
      </c>
      <c r="CS70" s="2">
        <v>0</v>
      </c>
      <c r="CT70" s="2">
        <v>0</v>
      </c>
      <c r="CU70" s="2">
        <v>0</v>
      </c>
      <c r="CV70" s="2">
        <v>0</v>
      </c>
      <c r="CW70" s="2">
        <v>0</v>
      </c>
      <c r="CX70" s="2">
        <v>0</v>
      </c>
      <c r="CY70" s="2">
        <v>0</v>
      </c>
      <c r="CZ70" s="2">
        <v>0</v>
      </c>
      <c r="DA70" s="2">
        <v>0</v>
      </c>
      <c r="DB70" s="2">
        <v>0</v>
      </c>
      <c r="DC70" s="57">
        <f t="shared" si="14"/>
        <v>272</v>
      </c>
      <c r="DD70" s="2">
        <v>0</v>
      </c>
      <c r="DE70" s="2">
        <v>0</v>
      </c>
      <c r="DF70" s="2">
        <v>0</v>
      </c>
    </row>
    <row r="71" spans="1:110" ht="51" x14ac:dyDescent="0.2">
      <c r="A71" s="2" t="s">
        <v>217</v>
      </c>
      <c r="B71" s="2" t="s">
        <v>191</v>
      </c>
      <c r="D71" s="2" t="s">
        <v>59</v>
      </c>
      <c r="E71" s="2" t="str">
        <f t="shared" ref="E71" si="16">CONCATENATE(A71," ",B71," ",C71," - ",D71)</f>
        <v>Weichfaser-, Spanplatten, Sperrholz Röhrenspanplatten  - RER</v>
      </c>
      <c r="F71" s="2" t="s">
        <v>142</v>
      </c>
      <c r="G71" s="2">
        <f>HLOOKUP($H71,'LCIA Daten manuell'!$A$1:$CU$3,3,FALSE)/1000</f>
        <v>0.27200000000000002</v>
      </c>
      <c r="H71" s="2" t="str">
        <f t="shared" si="13"/>
        <v>Tubular particleboard, at plant - RER</v>
      </c>
      <c r="I71" s="36">
        <v>1</v>
      </c>
      <c r="J71" s="36">
        <v>1</v>
      </c>
      <c r="K71" s="36">
        <v>1</v>
      </c>
      <c r="L71" s="2">
        <v>0</v>
      </c>
      <c r="M71" s="2">
        <v>0</v>
      </c>
      <c r="N71" s="2">
        <v>0</v>
      </c>
      <c r="O71" s="2">
        <v>0</v>
      </c>
      <c r="P71" s="2">
        <v>0</v>
      </c>
      <c r="Q71" s="2">
        <v>0</v>
      </c>
      <c r="R71" s="2">
        <v>0</v>
      </c>
      <c r="S71" s="2">
        <v>0</v>
      </c>
      <c r="T71" s="2">
        <v>0</v>
      </c>
      <c r="U71" s="2">
        <v>0</v>
      </c>
      <c r="V71" s="2">
        <v>0</v>
      </c>
      <c r="W71" s="2">
        <v>0</v>
      </c>
      <c r="X71" s="2">
        <v>0</v>
      </c>
      <c r="Y71" s="2">
        <v>0</v>
      </c>
      <c r="Z71" s="2">
        <v>0</v>
      </c>
      <c r="AA71" s="2">
        <v>0</v>
      </c>
      <c r="AB71" s="2">
        <v>0</v>
      </c>
      <c r="AC71" s="2">
        <v>0</v>
      </c>
      <c r="AD71" s="2">
        <v>0</v>
      </c>
      <c r="AE71" s="2">
        <v>0</v>
      </c>
      <c r="AF71" s="2">
        <v>0</v>
      </c>
      <c r="AG71" s="2">
        <v>0</v>
      </c>
      <c r="AH71" s="2">
        <v>0</v>
      </c>
      <c r="AI71" s="2">
        <v>0</v>
      </c>
      <c r="AJ71" s="2">
        <v>0</v>
      </c>
      <c r="AK71" s="2">
        <v>0</v>
      </c>
      <c r="AL71" s="2">
        <v>0</v>
      </c>
      <c r="AM71" s="2">
        <v>0</v>
      </c>
      <c r="AN71" s="37">
        <v>0</v>
      </c>
      <c r="AO71" s="2">
        <v>0</v>
      </c>
      <c r="AP71" s="2">
        <v>0</v>
      </c>
      <c r="AQ71" s="2">
        <v>0</v>
      </c>
      <c r="AR71" s="2">
        <v>0</v>
      </c>
      <c r="AS71" s="2">
        <v>0</v>
      </c>
      <c r="AT71" s="2">
        <v>0</v>
      </c>
      <c r="AU71" s="2">
        <v>0</v>
      </c>
      <c r="AV71" s="2">
        <v>0</v>
      </c>
      <c r="AW71" s="2">
        <v>0</v>
      </c>
      <c r="AX71" s="2">
        <v>0</v>
      </c>
      <c r="AY71" s="2">
        <v>0</v>
      </c>
      <c r="AZ71" s="2">
        <v>0</v>
      </c>
      <c r="BA71" s="2">
        <v>0</v>
      </c>
      <c r="BB71" s="2">
        <v>0</v>
      </c>
      <c r="BC71" s="2">
        <v>0</v>
      </c>
      <c r="BD71" s="2">
        <v>0</v>
      </c>
      <c r="BE71" s="2">
        <v>0</v>
      </c>
      <c r="BF71" s="2">
        <v>0</v>
      </c>
      <c r="BG71" s="2">
        <v>0</v>
      </c>
      <c r="BH71" s="2">
        <v>0</v>
      </c>
      <c r="BI71" s="2">
        <v>0</v>
      </c>
      <c r="BJ71" s="2">
        <v>0</v>
      </c>
      <c r="BK71" s="2">
        <v>0</v>
      </c>
      <c r="BL71" s="2">
        <v>0</v>
      </c>
      <c r="BM71" s="2">
        <v>0</v>
      </c>
      <c r="BN71" s="2">
        <v>0</v>
      </c>
      <c r="BO71" s="2">
        <v>0</v>
      </c>
      <c r="BP71" s="2">
        <v>0</v>
      </c>
      <c r="BQ71" s="2">
        <v>0</v>
      </c>
      <c r="BR71" s="2">
        <v>0</v>
      </c>
      <c r="BS71" s="2">
        <v>0</v>
      </c>
      <c r="BT71" s="2">
        <v>0</v>
      </c>
      <c r="BU71" s="2">
        <v>0</v>
      </c>
      <c r="BV71" s="2">
        <v>0</v>
      </c>
      <c r="BW71" s="2">
        <v>0</v>
      </c>
      <c r="BX71" s="2">
        <v>0</v>
      </c>
      <c r="BY71" s="2">
        <v>0</v>
      </c>
      <c r="BZ71" s="2">
        <v>0</v>
      </c>
      <c r="CA71" s="2">
        <v>0</v>
      </c>
      <c r="CB71" s="2">
        <v>0</v>
      </c>
      <c r="CC71" s="2">
        <v>0</v>
      </c>
      <c r="CD71" s="2">
        <v>1</v>
      </c>
      <c r="CE71" s="2">
        <v>0</v>
      </c>
      <c r="CF71" s="2">
        <v>0</v>
      </c>
      <c r="CG71" s="2">
        <v>0</v>
      </c>
      <c r="CH71" s="2">
        <v>0</v>
      </c>
      <c r="CI71" s="2">
        <v>0</v>
      </c>
      <c r="CJ71" s="2">
        <v>0</v>
      </c>
      <c r="CK71" s="2">
        <v>0</v>
      </c>
      <c r="CL71" s="2">
        <v>0</v>
      </c>
      <c r="CM71" s="2">
        <v>0</v>
      </c>
      <c r="CN71" s="2">
        <v>0</v>
      </c>
      <c r="CO71" s="2">
        <v>0</v>
      </c>
      <c r="CP71" s="2">
        <v>0</v>
      </c>
      <c r="CQ71" s="2">
        <v>0</v>
      </c>
      <c r="CR71" s="2">
        <v>0</v>
      </c>
      <c r="CS71" s="2">
        <v>0</v>
      </c>
      <c r="CT71" s="2">
        <v>0</v>
      </c>
      <c r="CU71" s="2">
        <v>0</v>
      </c>
      <c r="CV71" s="2">
        <v>0</v>
      </c>
      <c r="CW71" s="2">
        <v>0</v>
      </c>
      <c r="CX71" s="2">
        <v>0</v>
      </c>
      <c r="CY71" s="2">
        <v>0</v>
      </c>
      <c r="CZ71" s="2">
        <v>0</v>
      </c>
      <c r="DA71" s="2">
        <v>0</v>
      </c>
      <c r="DB71" s="2">
        <v>0</v>
      </c>
      <c r="DC71" s="57">
        <f t="shared" si="14"/>
        <v>272</v>
      </c>
      <c r="DD71" s="2">
        <v>0</v>
      </c>
      <c r="DE71" s="2">
        <v>0</v>
      </c>
      <c r="DF71" s="2">
        <v>0</v>
      </c>
    </row>
    <row r="72" spans="1:110" ht="51" x14ac:dyDescent="0.2">
      <c r="A72" s="2" t="s">
        <v>217</v>
      </c>
      <c r="B72" s="2" t="s">
        <v>206</v>
      </c>
      <c r="D72" s="2" t="s">
        <v>58</v>
      </c>
      <c r="E72" s="2" t="str">
        <f t="shared" ref="E72:E77" si="17">CONCATENATE(A72," ",B72," ",C72," - ",D72)</f>
        <v>Weichfaser-, Spanplatten, Sperrholz Furniersperrholz  - CH</v>
      </c>
      <c r="F72" s="2" t="s">
        <v>142</v>
      </c>
      <c r="G72" s="2">
        <f>HLOOKUP($H72,'LCIA Daten manuell'!$A$1:$CU$3,3,FALSE)/1000</f>
        <v>0.82299999999999995</v>
      </c>
      <c r="H72" s="2" t="str">
        <f t="shared" si="13"/>
        <v>Plywood, hardwood veneer, UF-bonded, at plant - RER</v>
      </c>
      <c r="I72" s="36">
        <v>1</v>
      </c>
      <c r="J72" s="36">
        <v>1</v>
      </c>
      <c r="K72" s="36">
        <v>1</v>
      </c>
      <c r="L72" s="2">
        <v>0</v>
      </c>
      <c r="M72" s="2">
        <v>0</v>
      </c>
      <c r="N72" s="2">
        <v>0</v>
      </c>
      <c r="O72" s="2">
        <v>0</v>
      </c>
      <c r="P72" s="2">
        <v>0</v>
      </c>
      <c r="Q72" s="2">
        <v>0</v>
      </c>
      <c r="R72" s="2">
        <v>0</v>
      </c>
      <c r="S72" s="2">
        <v>0</v>
      </c>
      <c r="T72" s="2">
        <v>0</v>
      </c>
      <c r="U72" s="2">
        <v>0</v>
      </c>
      <c r="V72" s="2">
        <v>0</v>
      </c>
      <c r="W72" s="2">
        <v>0</v>
      </c>
      <c r="X72" s="2">
        <v>0</v>
      </c>
      <c r="Y72" s="2">
        <v>0</v>
      </c>
      <c r="Z72" s="2">
        <v>0</v>
      </c>
      <c r="AA72" s="2">
        <v>0</v>
      </c>
      <c r="AB72" s="2">
        <v>0</v>
      </c>
      <c r="AC72" s="2">
        <v>0</v>
      </c>
      <c r="AD72" s="2">
        <v>0</v>
      </c>
      <c r="AE72" s="2">
        <v>0</v>
      </c>
      <c r="AF72" s="2">
        <v>0</v>
      </c>
      <c r="AG72" s="2">
        <v>0</v>
      </c>
      <c r="AH72" s="2">
        <v>0</v>
      </c>
      <c r="AI72" s="2">
        <v>0</v>
      </c>
      <c r="AJ72" s="2">
        <v>0</v>
      </c>
      <c r="AK72" s="2">
        <v>0</v>
      </c>
      <c r="AL72" s="2">
        <v>0</v>
      </c>
      <c r="AM72" s="2">
        <v>0</v>
      </c>
      <c r="AN72" s="37">
        <v>0</v>
      </c>
      <c r="AO72" s="2">
        <v>0</v>
      </c>
      <c r="AP72" s="2">
        <v>0</v>
      </c>
      <c r="AQ72" s="2">
        <v>0</v>
      </c>
      <c r="AR72" s="2">
        <v>0</v>
      </c>
      <c r="AS72" s="2">
        <v>0</v>
      </c>
      <c r="AT72" s="2">
        <v>0</v>
      </c>
      <c r="AU72" s="2">
        <v>0</v>
      </c>
      <c r="AV72" s="2">
        <v>0</v>
      </c>
      <c r="AW72" s="2">
        <v>0</v>
      </c>
      <c r="AX72" s="2">
        <v>0</v>
      </c>
      <c r="AY72" s="2">
        <v>0</v>
      </c>
      <c r="AZ72" s="2">
        <v>0</v>
      </c>
      <c r="BA72" s="2">
        <v>0</v>
      </c>
      <c r="BB72" s="2">
        <v>0</v>
      </c>
      <c r="BC72" s="2">
        <v>0</v>
      </c>
      <c r="BD72" s="2">
        <v>0</v>
      </c>
      <c r="BE72" s="2">
        <v>0</v>
      </c>
      <c r="BF72" s="2">
        <v>0</v>
      </c>
      <c r="BG72" s="2">
        <v>0</v>
      </c>
      <c r="BH72" s="2">
        <v>0</v>
      </c>
      <c r="BI72" s="2">
        <v>0</v>
      </c>
      <c r="BJ72" s="2">
        <v>0</v>
      </c>
      <c r="BK72" s="2">
        <v>0</v>
      </c>
      <c r="BL72" s="2">
        <v>0</v>
      </c>
      <c r="BM72" s="2">
        <v>0</v>
      </c>
      <c r="BN72" s="2">
        <v>0</v>
      </c>
      <c r="BO72" s="2">
        <v>0</v>
      </c>
      <c r="BP72" s="2">
        <v>0</v>
      </c>
      <c r="BQ72" s="2">
        <v>0</v>
      </c>
      <c r="BR72" s="2">
        <v>0</v>
      </c>
      <c r="BS72" s="2">
        <v>0</v>
      </c>
      <c r="BT72" s="2">
        <v>0</v>
      </c>
      <c r="BU72" s="2">
        <v>0</v>
      </c>
      <c r="BV72" s="2">
        <v>0</v>
      </c>
      <c r="BW72" s="2">
        <v>0</v>
      </c>
      <c r="BX72" s="2">
        <v>0</v>
      </c>
      <c r="BY72" s="2">
        <v>0</v>
      </c>
      <c r="BZ72" s="2">
        <v>0</v>
      </c>
      <c r="CA72" s="2">
        <v>0</v>
      </c>
      <c r="CB72" s="2">
        <v>0</v>
      </c>
      <c r="CC72" s="2">
        <v>0</v>
      </c>
      <c r="CD72" s="2">
        <v>0</v>
      </c>
      <c r="CE72" s="2">
        <v>0</v>
      </c>
      <c r="CF72" s="2">
        <v>0</v>
      </c>
      <c r="CG72" s="2">
        <v>0</v>
      </c>
      <c r="CH72" s="2">
        <v>0</v>
      </c>
      <c r="CI72" s="2">
        <v>0</v>
      </c>
      <c r="CJ72" s="2">
        <v>1</v>
      </c>
      <c r="CK72" s="2">
        <v>0</v>
      </c>
      <c r="CL72" s="2">
        <v>0</v>
      </c>
      <c r="CM72" s="2">
        <v>0</v>
      </c>
      <c r="CN72" s="2">
        <v>0</v>
      </c>
      <c r="CO72" s="2">
        <v>0</v>
      </c>
      <c r="CP72" s="2">
        <v>0</v>
      </c>
      <c r="CQ72" s="2">
        <v>0</v>
      </c>
      <c r="CR72" s="2">
        <v>0</v>
      </c>
      <c r="CS72" s="2">
        <v>0</v>
      </c>
      <c r="CT72" s="2">
        <v>0</v>
      </c>
      <c r="CU72" s="2">
        <v>0</v>
      </c>
      <c r="CV72" s="2">
        <v>0</v>
      </c>
      <c r="CW72" s="2">
        <v>0</v>
      </c>
      <c r="CX72" s="2">
        <v>0</v>
      </c>
      <c r="CY72" s="2">
        <v>0</v>
      </c>
      <c r="CZ72" s="2">
        <v>0</v>
      </c>
      <c r="DA72" s="2">
        <v>0</v>
      </c>
      <c r="DB72" s="2">
        <v>0</v>
      </c>
      <c r="DC72" s="57">
        <f t="shared" si="14"/>
        <v>823</v>
      </c>
      <c r="DD72" s="2">
        <v>0</v>
      </c>
      <c r="DE72" s="2">
        <v>0</v>
      </c>
      <c r="DF72" s="2">
        <v>0</v>
      </c>
    </row>
    <row r="73" spans="1:110" ht="51" x14ac:dyDescent="0.2">
      <c r="A73" s="2" t="s">
        <v>217</v>
      </c>
      <c r="B73" s="2" t="s">
        <v>206</v>
      </c>
      <c r="D73" s="2" t="s">
        <v>59</v>
      </c>
      <c r="E73" s="2" t="str">
        <f t="shared" si="17"/>
        <v>Weichfaser-, Spanplatten, Sperrholz Furniersperrholz  - RER</v>
      </c>
      <c r="F73" s="2" t="s">
        <v>142</v>
      </c>
      <c r="G73" s="2">
        <f>HLOOKUP($H73,'LCIA Daten manuell'!$A$1:$CU$3,3,FALSE)/1000</f>
        <v>0.82299999999999995</v>
      </c>
      <c r="H73" s="2" t="str">
        <f t="shared" si="13"/>
        <v>Plywood, hardwood veneer, UF-bonded, at plant - RER</v>
      </c>
      <c r="I73" s="36">
        <v>1</v>
      </c>
      <c r="J73" s="36">
        <v>1</v>
      </c>
      <c r="K73" s="36">
        <v>1</v>
      </c>
      <c r="L73" s="2">
        <v>0</v>
      </c>
      <c r="M73" s="2">
        <v>0</v>
      </c>
      <c r="N73" s="2">
        <v>0</v>
      </c>
      <c r="O73" s="2">
        <v>0</v>
      </c>
      <c r="P73" s="2">
        <v>0</v>
      </c>
      <c r="Q73" s="2">
        <v>0</v>
      </c>
      <c r="R73" s="2">
        <v>0</v>
      </c>
      <c r="S73" s="2">
        <v>0</v>
      </c>
      <c r="T73" s="2">
        <v>0</v>
      </c>
      <c r="U73" s="2">
        <v>0</v>
      </c>
      <c r="V73" s="2">
        <v>0</v>
      </c>
      <c r="W73" s="2">
        <v>0</v>
      </c>
      <c r="X73" s="2">
        <v>0</v>
      </c>
      <c r="Y73" s="2">
        <v>0</v>
      </c>
      <c r="Z73" s="2">
        <v>0</v>
      </c>
      <c r="AA73" s="2">
        <v>0</v>
      </c>
      <c r="AB73" s="2">
        <v>0</v>
      </c>
      <c r="AC73" s="2">
        <v>0</v>
      </c>
      <c r="AD73" s="2">
        <v>0</v>
      </c>
      <c r="AE73" s="2">
        <v>0</v>
      </c>
      <c r="AF73" s="2">
        <v>0</v>
      </c>
      <c r="AG73" s="2">
        <v>0</v>
      </c>
      <c r="AH73" s="2">
        <v>0</v>
      </c>
      <c r="AI73" s="2">
        <v>0</v>
      </c>
      <c r="AJ73" s="2">
        <v>0</v>
      </c>
      <c r="AK73" s="2">
        <v>0</v>
      </c>
      <c r="AL73" s="2">
        <v>0</v>
      </c>
      <c r="AM73" s="2">
        <v>0</v>
      </c>
      <c r="AN73" s="37">
        <v>0</v>
      </c>
      <c r="AO73" s="2">
        <v>0</v>
      </c>
      <c r="AP73" s="2">
        <v>0</v>
      </c>
      <c r="AQ73" s="2">
        <v>0</v>
      </c>
      <c r="AR73" s="2">
        <v>0</v>
      </c>
      <c r="AS73" s="2">
        <v>0</v>
      </c>
      <c r="AT73" s="2">
        <v>0</v>
      </c>
      <c r="AU73" s="2">
        <v>0</v>
      </c>
      <c r="AV73" s="2">
        <v>0</v>
      </c>
      <c r="AW73" s="2">
        <v>0</v>
      </c>
      <c r="AX73" s="2">
        <v>0</v>
      </c>
      <c r="AY73" s="2">
        <v>0</v>
      </c>
      <c r="AZ73" s="2">
        <v>0</v>
      </c>
      <c r="BA73" s="2">
        <v>0</v>
      </c>
      <c r="BB73" s="2">
        <v>0</v>
      </c>
      <c r="BC73" s="2">
        <v>0</v>
      </c>
      <c r="BD73" s="2">
        <v>0</v>
      </c>
      <c r="BE73" s="2">
        <v>0</v>
      </c>
      <c r="BF73" s="2">
        <v>0</v>
      </c>
      <c r="BG73" s="2">
        <v>0</v>
      </c>
      <c r="BH73" s="2">
        <v>0</v>
      </c>
      <c r="BI73" s="2">
        <v>0</v>
      </c>
      <c r="BJ73" s="2">
        <v>0</v>
      </c>
      <c r="BK73" s="2">
        <v>0</v>
      </c>
      <c r="BL73" s="2">
        <v>0</v>
      </c>
      <c r="BM73" s="2">
        <v>0</v>
      </c>
      <c r="BN73" s="2">
        <v>0</v>
      </c>
      <c r="BO73" s="2">
        <v>0</v>
      </c>
      <c r="BP73" s="2">
        <v>0</v>
      </c>
      <c r="BQ73" s="2">
        <v>0</v>
      </c>
      <c r="BR73" s="2">
        <v>0</v>
      </c>
      <c r="BS73" s="2">
        <v>0</v>
      </c>
      <c r="BT73" s="2">
        <v>0</v>
      </c>
      <c r="BU73" s="2">
        <v>0</v>
      </c>
      <c r="BV73" s="2">
        <v>0</v>
      </c>
      <c r="BW73" s="2">
        <v>0</v>
      </c>
      <c r="BX73" s="2">
        <v>0</v>
      </c>
      <c r="BY73" s="2">
        <v>0</v>
      </c>
      <c r="BZ73" s="2">
        <v>0</v>
      </c>
      <c r="CA73" s="2">
        <v>0</v>
      </c>
      <c r="CB73" s="2">
        <v>0</v>
      </c>
      <c r="CC73" s="2">
        <v>0</v>
      </c>
      <c r="CD73" s="2">
        <v>0</v>
      </c>
      <c r="CE73" s="2">
        <v>0</v>
      </c>
      <c r="CF73" s="2">
        <v>0</v>
      </c>
      <c r="CG73" s="2">
        <v>0</v>
      </c>
      <c r="CH73" s="2">
        <v>0</v>
      </c>
      <c r="CI73" s="2">
        <v>0</v>
      </c>
      <c r="CJ73" s="2">
        <v>1</v>
      </c>
      <c r="CK73" s="2">
        <v>0</v>
      </c>
      <c r="CL73" s="2">
        <v>0</v>
      </c>
      <c r="CM73" s="2">
        <v>0</v>
      </c>
      <c r="CN73" s="2">
        <v>0</v>
      </c>
      <c r="CO73" s="2">
        <v>0</v>
      </c>
      <c r="CP73" s="2">
        <v>0</v>
      </c>
      <c r="CQ73" s="2">
        <v>0</v>
      </c>
      <c r="CR73" s="2">
        <v>0</v>
      </c>
      <c r="CS73" s="2">
        <v>0</v>
      </c>
      <c r="CT73" s="2">
        <v>0</v>
      </c>
      <c r="CU73" s="2">
        <v>0</v>
      </c>
      <c r="CV73" s="2">
        <v>0</v>
      </c>
      <c r="CW73" s="2">
        <v>0</v>
      </c>
      <c r="CX73" s="2">
        <v>0</v>
      </c>
      <c r="CY73" s="2">
        <v>0</v>
      </c>
      <c r="CZ73" s="2">
        <v>0</v>
      </c>
      <c r="DA73" s="2">
        <v>0</v>
      </c>
      <c r="DB73" s="2">
        <v>0</v>
      </c>
      <c r="DC73" s="57">
        <f t="shared" si="14"/>
        <v>823</v>
      </c>
      <c r="DD73" s="2">
        <v>0</v>
      </c>
      <c r="DE73" s="2">
        <v>0</v>
      </c>
      <c r="DF73" s="2">
        <v>0</v>
      </c>
    </row>
    <row r="74" spans="1:110" ht="51" x14ac:dyDescent="0.2">
      <c r="A74" s="2" t="s">
        <v>217</v>
      </c>
      <c r="B74" s="2" t="s">
        <v>207</v>
      </c>
      <c r="D74" s="2" t="s">
        <v>58</v>
      </c>
      <c r="E74" s="2" t="str">
        <f t="shared" si="17"/>
        <v>Weichfaser-, Spanplatten, Sperrholz Sperrholz, Aussenanwendung  - CH</v>
      </c>
      <c r="F74" s="2" t="s">
        <v>142</v>
      </c>
      <c r="G74" s="2">
        <f>HLOOKUP($H74,'LCIA Daten manuell'!$A$1:$CU$3,3,FALSE)/1000</f>
        <v>0.5</v>
      </c>
      <c r="H74" s="2" t="str">
        <f t="shared" si="13"/>
        <v>plywood, outdoor use, at plant - RER</v>
      </c>
      <c r="I74" s="36">
        <v>2.7</v>
      </c>
      <c r="J74" s="36">
        <v>1</v>
      </c>
      <c r="K74" s="36">
        <v>1</v>
      </c>
      <c r="L74" s="2">
        <v>0</v>
      </c>
      <c r="M74" s="2">
        <v>0</v>
      </c>
      <c r="N74" s="2">
        <v>0</v>
      </c>
      <c r="O74" s="2">
        <v>0</v>
      </c>
      <c r="P74" s="2">
        <v>0</v>
      </c>
      <c r="Q74" s="2">
        <v>0</v>
      </c>
      <c r="R74" s="2">
        <v>0</v>
      </c>
      <c r="S74" s="2">
        <v>0</v>
      </c>
      <c r="T74" s="2">
        <v>0</v>
      </c>
      <c r="U74" s="2">
        <v>0</v>
      </c>
      <c r="V74" s="2">
        <v>0</v>
      </c>
      <c r="W74" s="2">
        <v>0</v>
      </c>
      <c r="X74" s="2">
        <v>0</v>
      </c>
      <c r="Y74" s="2">
        <v>0</v>
      </c>
      <c r="Z74" s="2">
        <v>0</v>
      </c>
      <c r="AA74" s="2">
        <v>0</v>
      </c>
      <c r="AB74" s="2">
        <v>0</v>
      </c>
      <c r="AC74" s="2">
        <v>0</v>
      </c>
      <c r="AD74" s="2">
        <v>0</v>
      </c>
      <c r="AE74" s="2">
        <v>0</v>
      </c>
      <c r="AF74" s="2">
        <v>0</v>
      </c>
      <c r="AG74" s="2">
        <v>0</v>
      </c>
      <c r="AH74" s="2">
        <v>0</v>
      </c>
      <c r="AI74" s="2">
        <v>0</v>
      </c>
      <c r="AJ74" s="2">
        <v>0</v>
      </c>
      <c r="AK74" s="2">
        <v>0</v>
      </c>
      <c r="AL74" s="2">
        <v>0</v>
      </c>
      <c r="AM74" s="2">
        <v>0</v>
      </c>
      <c r="AN74" s="37">
        <v>0</v>
      </c>
      <c r="AO74" s="2">
        <v>0</v>
      </c>
      <c r="AP74" s="2">
        <v>0</v>
      </c>
      <c r="AQ74" s="2">
        <v>0</v>
      </c>
      <c r="AR74" s="2">
        <v>0</v>
      </c>
      <c r="AS74" s="2">
        <v>0</v>
      </c>
      <c r="AT74" s="2">
        <v>0</v>
      </c>
      <c r="AU74" s="2">
        <v>0</v>
      </c>
      <c r="AV74" s="2">
        <v>0</v>
      </c>
      <c r="AW74" s="2">
        <v>0</v>
      </c>
      <c r="AX74" s="2">
        <v>0</v>
      </c>
      <c r="AY74" s="2">
        <v>0</v>
      </c>
      <c r="AZ74" s="2">
        <v>0</v>
      </c>
      <c r="BA74" s="2">
        <v>0</v>
      </c>
      <c r="BB74" s="2">
        <v>0</v>
      </c>
      <c r="BC74" s="2">
        <v>0</v>
      </c>
      <c r="BD74" s="2">
        <v>0</v>
      </c>
      <c r="BE74" s="2">
        <v>0</v>
      </c>
      <c r="BF74" s="2">
        <v>0</v>
      </c>
      <c r="BG74" s="2">
        <v>0</v>
      </c>
      <c r="BH74" s="2">
        <v>0</v>
      </c>
      <c r="BI74" s="2">
        <v>0</v>
      </c>
      <c r="BJ74" s="2">
        <v>0</v>
      </c>
      <c r="BK74" s="2">
        <v>0</v>
      </c>
      <c r="BL74" s="2">
        <v>0</v>
      </c>
      <c r="BM74" s="2">
        <v>0</v>
      </c>
      <c r="BN74" s="2">
        <v>0</v>
      </c>
      <c r="BO74" s="2">
        <v>0</v>
      </c>
      <c r="BP74" s="2">
        <v>0</v>
      </c>
      <c r="BQ74" s="2">
        <v>0</v>
      </c>
      <c r="BR74" s="2">
        <v>0</v>
      </c>
      <c r="BS74" s="2">
        <v>0</v>
      </c>
      <c r="BT74" s="2">
        <v>0</v>
      </c>
      <c r="BU74" s="2">
        <v>0</v>
      </c>
      <c r="BV74" s="2">
        <v>0</v>
      </c>
      <c r="BW74" s="2">
        <v>0</v>
      </c>
      <c r="BX74" s="2">
        <v>0</v>
      </c>
      <c r="BY74" s="2">
        <v>0</v>
      </c>
      <c r="BZ74" s="2">
        <v>0</v>
      </c>
      <c r="CA74" s="2">
        <v>0</v>
      </c>
      <c r="CB74" s="2">
        <v>0</v>
      </c>
      <c r="CC74" s="2">
        <v>0</v>
      </c>
      <c r="CD74" s="2">
        <v>0</v>
      </c>
      <c r="CE74" s="2">
        <v>0</v>
      </c>
      <c r="CF74" s="2">
        <v>0</v>
      </c>
      <c r="CG74" s="2">
        <v>0</v>
      </c>
      <c r="CH74" s="2">
        <v>0</v>
      </c>
      <c r="CI74" s="2">
        <v>0</v>
      </c>
      <c r="CJ74" s="2">
        <v>0</v>
      </c>
      <c r="CK74" s="2">
        <v>0</v>
      </c>
      <c r="CL74" s="2">
        <v>1</v>
      </c>
      <c r="CM74" s="2">
        <v>0</v>
      </c>
      <c r="CN74" s="2">
        <v>0</v>
      </c>
      <c r="CO74" s="2">
        <v>0</v>
      </c>
      <c r="CP74" s="2">
        <v>0</v>
      </c>
      <c r="CQ74" s="2">
        <v>0</v>
      </c>
      <c r="CR74" s="2">
        <v>0</v>
      </c>
      <c r="CS74" s="2">
        <v>0</v>
      </c>
      <c r="CT74" s="2">
        <v>0</v>
      </c>
      <c r="CU74" s="2">
        <v>0</v>
      </c>
      <c r="CV74" s="2">
        <v>0</v>
      </c>
      <c r="CW74" s="2">
        <v>0</v>
      </c>
      <c r="CX74" s="2">
        <v>0</v>
      </c>
      <c r="CY74" s="2">
        <v>0</v>
      </c>
      <c r="CZ74" s="2">
        <v>0</v>
      </c>
      <c r="DA74" s="2">
        <v>0</v>
      </c>
      <c r="DB74" s="2">
        <v>0</v>
      </c>
      <c r="DC74" s="57">
        <f t="shared" si="14"/>
        <v>500</v>
      </c>
      <c r="DD74" s="2">
        <v>0</v>
      </c>
      <c r="DE74" s="2">
        <v>0</v>
      </c>
      <c r="DF74" s="2">
        <v>0</v>
      </c>
    </row>
    <row r="75" spans="1:110" ht="51" x14ac:dyDescent="0.2">
      <c r="A75" s="2" t="s">
        <v>217</v>
      </c>
      <c r="B75" s="2" t="s">
        <v>207</v>
      </c>
      <c r="D75" s="2" t="s">
        <v>59</v>
      </c>
      <c r="E75" s="2" t="str">
        <f t="shared" si="17"/>
        <v>Weichfaser-, Spanplatten, Sperrholz Sperrholz, Aussenanwendung  - RER</v>
      </c>
      <c r="F75" s="2" t="s">
        <v>142</v>
      </c>
      <c r="G75" s="2">
        <f>HLOOKUP($H75,'LCIA Daten manuell'!$A$1:$CU$3,3,FALSE)/1000</f>
        <v>0.5</v>
      </c>
      <c r="H75" s="2" t="str">
        <f t="shared" si="13"/>
        <v>plywood, outdoor use, at plant - RER</v>
      </c>
      <c r="I75" s="36">
        <v>2.7</v>
      </c>
      <c r="J75" s="36">
        <v>1</v>
      </c>
      <c r="K75" s="36">
        <v>1</v>
      </c>
      <c r="L75" s="2">
        <v>0</v>
      </c>
      <c r="M75" s="2">
        <v>0</v>
      </c>
      <c r="N75" s="2">
        <v>0</v>
      </c>
      <c r="O75" s="2">
        <v>0</v>
      </c>
      <c r="P75" s="2">
        <v>0</v>
      </c>
      <c r="Q75" s="2">
        <v>0</v>
      </c>
      <c r="R75" s="2">
        <v>0</v>
      </c>
      <c r="S75" s="2">
        <v>0</v>
      </c>
      <c r="T75" s="2">
        <v>0</v>
      </c>
      <c r="U75" s="2">
        <v>0</v>
      </c>
      <c r="V75" s="2">
        <v>0</v>
      </c>
      <c r="W75" s="2">
        <v>0</v>
      </c>
      <c r="X75" s="2">
        <v>0</v>
      </c>
      <c r="Y75" s="2">
        <v>0</v>
      </c>
      <c r="Z75" s="2">
        <v>0</v>
      </c>
      <c r="AA75" s="2">
        <v>0</v>
      </c>
      <c r="AB75" s="2">
        <v>0</v>
      </c>
      <c r="AC75" s="2">
        <v>0</v>
      </c>
      <c r="AD75" s="2">
        <v>0</v>
      </c>
      <c r="AE75" s="2">
        <v>0</v>
      </c>
      <c r="AF75" s="2">
        <v>0</v>
      </c>
      <c r="AG75" s="2">
        <v>0</v>
      </c>
      <c r="AH75" s="2">
        <v>0</v>
      </c>
      <c r="AI75" s="2">
        <v>0</v>
      </c>
      <c r="AJ75" s="2">
        <v>0</v>
      </c>
      <c r="AK75" s="2">
        <v>0</v>
      </c>
      <c r="AL75" s="2">
        <v>0</v>
      </c>
      <c r="AM75" s="2">
        <v>0</v>
      </c>
      <c r="AN75" s="37">
        <v>0</v>
      </c>
      <c r="AO75" s="2">
        <v>0</v>
      </c>
      <c r="AP75" s="2">
        <v>0</v>
      </c>
      <c r="AQ75" s="2">
        <v>0</v>
      </c>
      <c r="AR75" s="2">
        <v>0</v>
      </c>
      <c r="AS75" s="2">
        <v>0</v>
      </c>
      <c r="AT75" s="2">
        <v>0</v>
      </c>
      <c r="AU75" s="2">
        <v>0</v>
      </c>
      <c r="AV75" s="2">
        <v>0</v>
      </c>
      <c r="AW75" s="2">
        <v>0</v>
      </c>
      <c r="AX75" s="2">
        <v>0</v>
      </c>
      <c r="AY75" s="2">
        <v>0</v>
      </c>
      <c r="AZ75" s="2">
        <v>0</v>
      </c>
      <c r="BA75" s="2">
        <v>0</v>
      </c>
      <c r="BB75" s="2">
        <v>0</v>
      </c>
      <c r="BC75" s="2">
        <v>0</v>
      </c>
      <c r="BD75" s="2">
        <v>0</v>
      </c>
      <c r="BE75" s="2">
        <v>0</v>
      </c>
      <c r="BF75" s="2">
        <v>0</v>
      </c>
      <c r="BG75" s="2">
        <v>0</v>
      </c>
      <c r="BH75" s="2">
        <v>0</v>
      </c>
      <c r="BI75" s="2">
        <v>0</v>
      </c>
      <c r="BJ75" s="2">
        <v>0</v>
      </c>
      <c r="BK75" s="2">
        <v>0</v>
      </c>
      <c r="BL75" s="2">
        <v>0</v>
      </c>
      <c r="BM75" s="2">
        <v>0</v>
      </c>
      <c r="BN75" s="2">
        <v>0</v>
      </c>
      <c r="BO75" s="2">
        <v>0</v>
      </c>
      <c r="BP75" s="2">
        <v>0</v>
      </c>
      <c r="BQ75" s="2">
        <v>0</v>
      </c>
      <c r="BR75" s="2">
        <v>0</v>
      </c>
      <c r="BS75" s="2">
        <v>0</v>
      </c>
      <c r="BT75" s="2">
        <v>0</v>
      </c>
      <c r="BU75" s="2">
        <v>0</v>
      </c>
      <c r="BV75" s="2">
        <v>0</v>
      </c>
      <c r="BW75" s="2">
        <v>0</v>
      </c>
      <c r="BX75" s="2">
        <v>0</v>
      </c>
      <c r="BY75" s="2">
        <v>0</v>
      </c>
      <c r="BZ75" s="2">
        <v>0</v>
      </c>
      <c r="CA75" s="2">
        <v>0</v>
      </c>
      <c r="CB75" s="2">
        <v>0</v>
      </c>
      <c r="CC75" s="2">
        <v>0</v>
      </c>
      <c r="CD75" s="2">
        <v>0</v>
      </c>
      <c r="CE75" s="2">
        <v>0</v>
      </c>
      <c r="CF75" s="2">
        <v>0</v>
      </c>
      <c r="CG75" s="2">
        <v>0</v>
      </c>
      <c r="CH75" s="2">
        <v>0</v>
      </c>
      <c r="CI75" s="2">
        <v>0</v>
      </c>
      <c r="CJ75" s="2">
        <v>0</v>
      </c>
      <c r="CK75" s="2">
        <v>0</v>
      </c>
      <c r="CL75" s="2">
        <v>1</v>
      </c>
      <c r="CM75" s="2">
        <v>0</v>
      </c>
      <c r="CN75" s="2">
        <v>0</v>
      </c>
      <c r="CO75" s="2">
        <v>0</v>
      </c>
      <c r="CP75" s="2">
        <v>0</v>
      </c>
      <c r="CQ75" s="2">
        <v>0</v>
      </c>
      <c r="CR75" s="2">
        <v>0</v>
      </c>
      <c r="CS75" s="2">
        <v>0</v>
      </c>
      <c r="CT75" s="2">
        <v>0</v>
      </c>
      <c r="CU75" s="2">
        <v>0</v>
      </c>
      <c r="CV75" s="2">
        <v>0</v>
      </c>
      <c r="CW75" s="2">
        <v>0</v>
      </c>
      <c r="CX75" s="2">
        <v>0</v>
      </c>
      <c r="CY75" s="2">
        <v>0</v>
      </c>
      <c r="CZ75" s="2">
        <v>0</v>
      </c>
      <c r="DA75" s="2">
        <v>0</v>
      </c>
      <c r="DB75" s="2">
        <v>0</v>
      </c>
      <c r="DC75" s="57">
        <f t="shared" si="14"/>
        <v>500</v>
      </c>
      <c r="DD75" s="2">
        <v>0</v>
      </c>
      <c r="DE75" s="2">
        <v>0</v>
      </c>
      <c r="DF75" s="2">
        <v>0</v>
      </c>
    </row>
    <row r="76" spans="1:110" ht="51" x14ac:dyDescent="0.2">
      <c r="A76" s="2" t="s">
        <v>217</v>
      </c>
      <c r="B76" s="2" t="s">
        <v>208</v>
      </c>
      <c r="D76" s="2" t="s">
        <v>58</v>
      </c>
      <c r="E76" s="2" t="str">
        <f t="shared" si="17"/>
        <v>Weichfaser-, Spanplatten, Sperrholz Sperrholz, Innenanwendung  - CH</v>
      </c>
      <c r="F76" s="2" t="s">
        <v>142</v>
      </c>
      <c r="G76" s="2">
        <f>HLOOKUP($H76,'LCIA Daten manuell'!$A$1:$CU$3,3,FALSE)/1000</f>
        <v>0.5</v>
      </c>
      <c r="H76" s="2" t="str">
        <f t="shared" si="13"/>
        <v>plywood, indoor use, at plant - RER</v>
      </c>
      <c r="I76" s="36">
        <v>2.7</v>
      </c>
      <c r="J76" s="36">
        <v>1</v>
      </c>
      <c r="K76" s="36">
        <v>1</v>
      </c>
      <c r="L76" s="2">
        <v>0</v>
      </c>
      <c r="M76" s="2">
        <v>0</v>
      </c>
      <c r="N76" s="2">
        <v>0</v>
      </c>
      <c r="O76" s="2">
        <v>0</v>
      </c>
      <c r="P76" s="2">
        <v>0</v>
      </c>
      <c r="Q76" s="2">
        <v>0</v>
      </c>
      <c r="R76" s="2">
        <v>0</v>
      </c>
      <c r="S76" s="2">
        <v>0</v>
      </c>
      <c r="T76" s="2">
        <v>0</v>
      </c>
      <c r="U76" s="2">
        <v>0</v>
      </c>
      <c r="V76" s="2">
        <v>0</v>
      </c>
      <c r="W76" s="2">
        <v>0</v>
      </c>
      <c r="X76" s="2">
        <v>0</v>
      </c>
      <c r="Y76" s="2">
        <v>0</v>
      </c>
      <c r="Z76" s="2">
        <v>0</v>
      </c>
      <c r="AA76" s="2">
        <v>0</v>
      </c>
      <c r="AB76" s="2">
        <v>0</v>
      </c>
      <c r="AC76" s="2">
        <v>0</v>
      </c>
      <c r="AD76" s="2">
        <v>0</v>
      </c>
      <c r="AE76" s="2">
        <v>0</v>
      </c>
      <c r="AF76" s="2">
        <v>0</v>
      </c>
      <c r="AG76" s="2">
        <v>0</v>
      </c>
      <c r="AH76" s="2">
        <v>0</v>
      </c>
      <c r="AI76" s="2">
        <v>0</v>
      </c>
      <c r="AJ76" s="2">
        <v>0</v>
      </c>
      <c r="AK76" s="2">
        <v>0</v>
      </c>
      <c r="AL76" s="2">
        <v>0</v>
      </c>
      <c r="AM76" s="2">
        <v>0</v>
      </c>
      <c r="AN76" s="37">
        <v>0</v>
      </c>
      <c r="AO76" s="2">
        <v>0</v>
      </c>
      <c r="AP76" s="2">
        <v>0</v>
      </c>
      <c r="AQ76" s="2">
        <v>0</v>
      </c>
      <c r="AR76" s="2">
        <v>0</v>
      </c>
      <c r="AS76" s="2">
        <v>0</v>
      </c>
      <c r="AT76" s="2">
        <v>0</v>
      </c>
      <c r="AU76" s="2">
        <v>0</v>
      </c>
      <c r="AV76" s="2">
        <v>0</v>
      </c>
      <c r="AW76" s="2">
        <v>0</v>
      </c>
      <c r="AX76" s="2">
        <v>0</v>
      </c>
      <c r="AY76" s="2">
        <v>0</v>
      </c>
      <c r="AZ76" s="2">
        <v>0</v>
      </c>
      <c r="BA76" s="2">
        <v>0</v>
      </c>
      <c r="BB76" s="2">
        <v>0</v>
      </c>
      <c r="BC76" s="2">
        <v>0</v>
      </c>
      <c r="BD76" s="2">
        <v>0</v>
      </c>
      <c r="BE76" s="2">
        <v>0</v>
      </c>
      <c r="BF76" s="2">
        <v>0</v>
      </c>
      <c r="BG76" s="2">
        <v>0</v>
      </c>
      <c r="BH76" s="2">
        <v>0</v>
      </c>
      <c r="BI76" s="2">
        <v>0</v>
      </c>
      <c r="BJ76" s="2">
        <v>0</v>
      </c>
      <c r="BK76" s="2">
        <v>0</v>
      </c>
      <c r="BL76" s="2">
        <v>0</v>
      </c>
      <c r="BM76" s="2">
        <v>0</v>
      </c>
      <c r="BN76" s="2">
        <v>0</v>
      </c>
      <c r="BO76" s="2">
        <v>0</v>
      </c>
      <c r="BP76" s="2">
        <v>0</v>
      </c>
      <c r="BQ76" s="2">
        <v>0</v>
      </c>
      <c r="BR76" s="2">
        <v>0</v>
      </c>
      <c r="BS76" s="2">
        <v>0</v>
      </c>
      <c r="BT76" s="2">
        <v>0</v>
      </c>
      <c r="BU76" s="2">
        <v>0</v>
      </c>
      <c r="BV76" s="2">
        <v>0</v>
      </c>
      <c r="BW76" s="2">
        <v>0</v>
      </c>
      <c r="BX76" s="2">
        <v>0</v>
      </c>
      <c r="BY76" s="2">
        <v>0</v>
      </c>
      <c r="BZ76" s="2">
        <v>0</v>
      </c>
      <c r="CA76" s="2">
        <v>0</v>
      </c>
      <c r="CB76" s="2">
        <v>0</v>
      </c>
      <c r="CC76" s="2">
        <v>0</v>
      </c>
      <c r="CD76" s="2">
        <v>0</v>
      </c>
      <c r="CE76" s="2">
        <v>0</v>
      </c>
      <c r="CF76" s="2">
        <v>0</v>
      </c>
      <c r="CG76" s="2">
        <v>0</v>
      </c>
      <c r="CH76" s="2">
        <v>0</v>
      </c>
      <c r="CI76" s="2">
        <v>0</v>
      </c>
      <c r="CJ76" s="2">
        <v>0</v>
      </c>
      <c r="CK76" s="2">
        <v>1</v>
      </c>
      <c r="CL76" s="2">
        <v>0</v>
      </c>
      <c r="CM76" s="2">
        <v>0</v>
      </c>
      <c r="CN76" s="2">
        <v>0</v>
      </c>
      <c r="CO76" s="2">
        <v>0</v>
      </c>
      <c r="CP76" s="2">
        <v>0</v>
      </c>
      <c r="CQ76" s="2">
        <v>0</v>
      </c>
      <c r="CR76" s="2">
        <v>0</v>
      </c>
      <c r="CS76" s="2">
        <v>0</v>
      </c>
      <c r="CT76" s="2">
        <v>0</v>
      </c>
      <c r="CU76" s="2">
        <v>0</v>
      </c>
      <c r="CV76" s="2">
        <v>0</v>
      </c>
      <c r="CW76" s="2">
        <v>0</v>
      </c>
      <c r="CX76" s="2">
        <v>0</v>
      </c>
      <c r="CY76" s="2">
        <v>0</v>
      </c>
      <c r="CZ76" s="2">
        <v>0</v>
      </c>
      <c r="DA76" s="2">
        <v>0</v>
      </c>
      <c r="DB76" s="2">
        <v>0</v>
      </c>
      <c r="DC76" s="57">
        <f t="shared" si="14"/>
        <v>500</v>
      </c>
      <c r="DD76" s="2">
        <v>0</v>
      </c>
      <c r="DE76" s="2">
        <v>0</v>
      </c>
      <c r="DF76" s="2">
        <v>0</v>
      </c>
    </row>
    <row r="77" spans="1:110" ht="51" x14ac:dyDescent="0.2">
      <c r="A77" s="2" t="s">
        <v>217</v>
      </c>
      <c r="B77" s="2" t="s">
        <v>208</v>
      </c>
      <c r="D77" s="2" t="s">
        <v>59</v>
      </c>
      <c r="E77" s="2" t="str">
        <f t="shared" si="17"/>
        <v>Weichfaser-, Spanplatten, Sperrholz Sperrholz, Innenanwendung  - RER</v>
      </c>
      <c r="F77" s="2" t="s">
        <v>142</v>
      </c>
      <c r="G77" s="2">
        <f>HLOOKUP($H77,'LCIA Daten manuell'!$A$1:$CU$3,3,FALSE)/1000</f>
        <v>0.5</v>
      </c>
      <c r="H77" s="2" t="str">
        <f t="shared" si="13"/>
        <v>plywood, indoor use, at plant - RER</v>
      </c>
      <c r="I77" s="36">
        <v>2.7</v>
      </c>
      <c r="J77" s="36">
        <v>1</v>
      </c>
      <c r="K77" s="36">
        <v>1</v>
      </c>
      <c r="L77" s="2">
        <v>0</v>
      </c>
      <c r="M77" s="2">
        <v>0</v>
      </c>
      <c r="N77" s="2">
        <v>0</v>
      </c>
      <c r="O77" s="2">
        <v>0</v>
      </c>
      <c r="P77" s="2">
        <v>0</v>
      </c>
      <c r="Q77" s="2">
        <v>0</v>
      </c>
      <c r="R77" s="2">
        <v>0</v>
      </c>
      <c r="S77" s="2">
        <v>0</v>
      </c>
      <c r="T77" s="2">
        <v>0</v>
      </c>
      <c r="U77" s="2">
        <v>0</v>
      </c>
      <c r="V77" s="2">
        <v>0</v>
      </c>
      <c r="W77" s="2">
        <v>0</v>
      </c>
      <c r="X77" s="2">
        <v>0</v>
      </c>
      <c r="Y77" s="2">
        <v>0</v>
      </c>
      <c r="Z77" s="2">
        <v>0</v>
      </c>
      <c r="AA77" s="2">
        <v>0</v>
      </c>
      <c r="AB77" s="2">
        <v>0</v>
      </c>
      <c r="AC77" s="2">
        <v>0</v>
      </c>
      <c r="AD77" s="2">
        <v>0</v>
      </c>
      <c r="AE77" s="2">
        <v>0</v>
      </c>
      <c r="AF77" s="2">
        <v>0</v>
      </c>
      <c r="AG77" s="2">
        <v>0</v>
      </c>
      <c r="AH77" s="2">
        <v>0</v>
      </c>
      <c r="AI77" s="2">
        <v>0</v>
      </c>
      <c r="AJ77" s="2">
        <v>0</v>
      </c>
      <c r="AK77" s="2">
        <v>0</v>
      </c>
      <c r="AL77" s="2">
        <v>0</v>
      </c>
      <c r="AM77" s="2">
        <v>0</v>
      </c>
      <c r="AN77" s="37">
        <v>0</v>
      </c>
      <c r="AO77" s="2">
        <v>0</v>
      </c>
      <c r="AP77" s="2">
        <v>0</v>
      </c>
      <c r="AQ77" s="2">
        <v>0</v>
      </c>
      <c r="AR77" s="2">
        <v>0</v>
      </c>
      <c r="AS77" s="2">
        <v>0</v>
      </c>
      <c r="AT77" s="2">
        <v>0</v>
      </c>
      <c r="AU77" s="2">
        <v>0</v>
      </c>
      <c r="AV77" s="2">
        <v>0</v>
      </c>
      <c r="AW77" s="2">
        <v>0</v>
      </c>
      <c r="AX77" s="2">
        <v>0</v>
      </c>
      <c r="AY77" s="2">
        <v>0</v>
      </c>
      <c r="AZ77" s="2">
        <v>0</v>
      </c>
      <c r="BA77" s="2">
        <v>0</v>
      </c>
      <c r="BB77" s="2">
        <v>0</v>
      </c>
      <c r="BC77" s="2">
        <v>0</v>
      </c>
      <c r="BD77" s="2">
        <v>0</v>
      </c>
      <c r="BE77" s="2">
        <v>0</v>
      </c>
      <c r="BF77" s="2">
        <v>0</v>
      </c>
      <c r="BG77" s="2">
        <v>0</v>
      </c>
      <c r="BH77" s="2">
        <v>0</v>
      </c>
      <c r="BI77" s="2">
        <v>0</v>
      </c>
      <c r="BJ77" s="2">
        <v>0</v>
      </c>
      <c r="BK77" s="2">
        <v>0</v>
      </c>
      <c r="BL77" s="2">
        <v>0</v>
      </c>
      <c r="BM77" s="2">
        <v>0</v>
      </c>
      <c r="BN77" s="2">
        <v>0</v>
      </c>
      <c r="BO77" s="2">
        <v>0</v>
      </c>
      <c r="BP77" s="2">
        <v>0</v>
      </c>
      <c r="BQ77" s="2">
        <v>0</v>
      </c>
      <c r="BR77" s="2">
        <v>0</v>
      </c>
      <c r="BS77" s="2">
        <v>0</v>
      </c>
      <c r="BT77" s="2">
        <v>0</v>
      </c>
      <c r="BU77" s="2">
        <v>0</v>
      </c>
      <c r="BV77" s="2">
        <v>0</v>
      </c>
      <c r="BW77" s="2">
        <v>0</v>
      </c>
      <c r="BX77" s="2">
        <v>0</v>
      </c>
      <c r="BY77" s="2">
        <v>0</v>
      </c>
      <c r="BZ77" s="2">
        <v>0</v>
      </c>
      <c r="CA77" s="2">
        <v>0</v>
      </c>
      <c r="CB77" s="2">
        <v>0</v>
      </c>
      <c r="CC77" s="2">
        <v>0</v>
      </c>
      <c r="CD77" s="2">
        <v>0</v>
      </c>
      <c r="CE77" s="2">
        <v>0</v>
      </c>
      <c r="CF77" s="2">
        <v>0</v>
      </c>
      <c r="CG77" s="2">
        <v>0</v>
      </c>
      <c r="CH77" s="2">
        <v>0</v>
      </c>
      <c r="CI77" s="2">
        <v>0</v>
      </c>
      <c r="CJ77" s="2">
        <v>0</v>
      </c>
      <c r="CK77" s="2">
        <v>1</v>
      </c>
      <c r="CL77" s="2">
        <v>0</v>
      </c>
      <c r="CM77" s="2">
        <v>0</v>
      </c>
      <c r="CN77" s="2">
        <v>0</v>
      </c>
      <c r="CO77" s="2">
        <v>0</v>
      </c>
      <c r="CP77" s="2">
        <v>0</v>
      </c>
      <c r="CQ77" s="2">
        <v>0</v>
      </c>
      <c r="CR77" s="2">
        <v>0</v>
      </c>
      <c r="CS77" s="2">
        <v>0</v>
      </c>
      <c r="CT77" s="2">
        <v>0</v>
      </c>
      <c r="CU77" s="2">
        <v>0</v>
      </c>
      <c r="CV77" s="2">
        <v>0</v>
      </c>
      <c r="CW77" s="2">
        <v>0</v>
      </c>
      <c r="CX77" s="2">
        <v>0</v>
      </c>
      <c r="CY77" s="2">
        <v>0</v>
      </c>
      <c r="CZ77" s="2">
        <v>0</v>
      </c>
      <c r="DA77" s="2">
        <v>0</v>
      </c>
      <c r="DB77" s="2">
        <v>0</v>
      </c>
      <c r="DC77" s="57">
        <f t="shared" si="14"/>
        <v>500</v>
      </c>
      <c r="DD77" s="2">
        <v>0</v>
      </c>
      <c r="DE77" s="2">
        <v>0</v>
      </c>
      <c r="DF77" s="2">
        <v>0</v>
      </c>
    </row>
    <row r="78" spans="1:110" ht="17" x14ac:dyDescent="0.2">
      <c r="A78" s="2" t="s">
        <v>304</v>
      </c>
      <c r="B78" s="2" t="s">
        <v>205</v>
      </c>
      <c r="D78" s="2" t="s">
        <v>58</v>
      </c>
      <c r="E78" s="2" t="str">
        <f t="shared" ref="E78:E105" si="18">CONCATENATE(A78," ",B78," ",C78," - ",D78)</f>
        <v>Lagenholz Brettschichtholz  - CH</v>
      </c>
      <c r="F78" s="2" t="s">
        <v>89</v>
      </c>
      <c r="G78" s="2">
        <f>HLOOKUP($H78,'LCIA Daten manuell'!$A$1:$CU$3,3,FALSE)/1000</f>
        <v>0.439</v>
      </c>
      <c r="H78" s="2" t="str">
        <f t="shared" si="13"/>
        <v>Glued laminated timber, average glue mix, at plant - CH</v>
      </c>
      <c r="I78" s="36">
        <f>1.5*J78</f>
        <v>2.0829900000000006</v>
      </c>
      <c r="J78" s="36">
        <f>1.09*K78</f>
        <v>1.3886600000000002</v>
      </c>
      <c r="K78" s="36">
        <f>1.02+0.254</f>
        <v>1.274</v>
      </c>
      <c r="L78" s="2">
        <v>0</v>
      </c>
      <c r="M78" s="2">
        <v>0</v>
      </c>
      <c r="N78" s="2">
        <f>-1.02/HLOOKUP("m3 Stufe2/m3 Produkt",$I$2:$K$103,ROW()-1,FALSE)*HLOOKUP("m3 Rundholz/m3 Produkt",$I$2:$K$103,ROW()-1,FALSE)</f>
        <v>-1.6677000000000004</v>
      </c>
      <c r="O78" s="2">
        <f>-0.254/HLOOKUP("m3 Stufe2/m3 Produkt",$I$2:$K$103,ROW()-1,FALSE)*HLOOKUP("m3 Rundholz/m3 Produkt",$I$2:$K$103,ROW()-1,FALSE)</f>
        <v>-0.4152900000000001</v>
      </c>
      <c r="P78" s="2">
        <f>-23.6-0.254*1.09*57.312</f>
        <v>-39.467400320000003</v>
      </c>
      <c r="Q78" s="2">
        <f>-1.02*1.09*57.312</f>
        <v>-63.719481600000002</v>
      </c>
      <c r="R78" s="2">
        <v>0</v>
      </c>
      <c r="S78" s="2">
        <v>0</v>
      </c>
      <c r="T78" s="2">
        <v>0</v>
      </c>
      <c r="U78" s="2">
        <v>0</v>
      </c>
      <c r="V78" s="2">
        <v>0</v>
      </c>
      <c r="W78" s="2">
        <v>0</v>
      </c>
      <c r="X78" s="2">
        <v>0</v>
      </c>
      <c r="Y78" s="2">
        <v>0</v>
      </c>
      <c r="Z78" s="2">
        <v>0</v>
      </c>
      <c r="AA78" s="2">
        <v>0</v>
      </c>
      <c r="AB78" s="2">
        <v>0</v>
      </c>
      <c r="AC78" s="2">
        <v>0</v>
      </c>
      <c r="AD78" s="2">
        <v>0</v>
      </c>
      <c r="AE78" s="2">
        <v>0</v>
      </c>
      <c r="AF78" s="2">
        <v>0</v>
      </c>
      <c r="AG78" s="2">
        <v>0</v>
      </c>
      <c r="AH78" s="2">
        <v>0</v>
      </c>
      <c r="AI78" s="2">
        <v>0</v>
      </c>
      <c r="AJ78" s="2">
        <v>0</v>
      </c>
      <c r="AK78" s="2">
        <v>0</v>
      </c>
      <c r="AL78" s="2">
        <v>0</v>
      </c>
      <c r="AM78" s="2">
        <v>0</v>
      </c>
      <c r="AN78" s="37">
        <v>0</v>
      </c>
      <c r="AO78" s="2">
        <v>0</v>
      </c>
      <c r="AP78" s="2">
        <v>0</v>
      </c>
      <c r="AQ78" s="2">
        <v>0</v>
      </c>
      <c r="AR78" s="2">
        <v>0</v>
      </c>
      <c r="AS78" s="2">
        <v>0</v>
      </c>
      <c r="AT78" s="2">
        <v>0</v>
      </c>
      <c r="AU78" s="2">
        <v>0</v>
      </c>
      <c r="AV78" s="2">
        <v>0</v>
      </c>
      <c r="AW78" s="2">
        <v>0</v>
      </c>
      <c r="AX78" s="2">
        <v>0</v>
      </c>
      <c r="AY78" s="2">
        <v>0</v>
      </c>
      <c r="AZ78" s="2">
        <v>0</v>
      </c>
      <c r="BA78" s="2">
        <v>0</v>
      </c>
      <c r="BB78" s="2">
        <v>0</v>
      </c>
      <c r="BC78" s="2">
        <v>0</v>
      </c>
      <c r="BD78" s="2">
        <v>0</v>
      </c>
      <c r="BE78" s="2">
        <v>0</v>
      </c>
      <c r="BF78" s="2">
        <v>0</v>
      </c>
      <c r="BG78" s="2">
        <v>0</v>
      </c>
      <c r="BH78" s="2">
        <v>0</v>
      </c>
      <c r="BI78" s="2">
        <v>0</v>
      </c>
      <c r="BJ78" s="2">
        <v>0</v>
      </c>
      <c r="BK78" s="2">
        <v>0</v>
      </c>
      <c r="BL78" s="2">
        <v>0</v>
      </c>
      <c r="BM78" s="2">
        <v>0</v>
      </c>
      <c r="BN78" s="2">
        <v>0</v>
      </c>
      <c r="BO78" s="2">
        <v>0</v>
      </c>
      <c r="BP78" s="2">
        <v>0</v>
      </c>
      <c r="BQ78" s="2">
        <v>0</v>
      </c>
      <c r="BR78" s="2">
        <v>0</v>
      </c>
      <c r="BS78" s="2">
        <v>0</v>
      </c>
      <c r="BT78" s="2">
        <v>0</v>
      </c>
      <c r="BU78" s="2">
        <v>0</v>
      </c>
      <c r="BV78" s="2">
        <v>0</v>
      </c>
      <c r="BW78" s="2">
        <v>0</v>
      </c>
      <c r="BX78" s="2">
        <v>0</v>
      </c>
      <c r="BY78" s="2">
        <v>0</v>
      </c>
      <c r="BZ78" s="2">
        <v>0</v>
      </c>
      <c r="CA78" s="2">
        <v>0</v>
      </c>
      <c r="CB78" s="2">
        <v>0</v>
      </c>
      <c r="CC78" s="2">
        <v>0</v>
      </c>
      <c r="CD78" s="2">
        <v>0</v>
      </c>
      <c r="CE78" s="2">
        <v>0</v>
      </c>
      <c r="CF78" s="2">
        <v>0</v>
      </c>
      <c r="CG78" s="2">
        <v>1</v>
      </c>
      <c r="CH78" s="2">
        <v>0</v>
      </c>
      <c r="CI78" s="2">
        <v>0</v>
      </c>
      <c r="CJ78" s="2">
        <v>0</v>
      </c>
      <c r="CK78" s="2">
        <v>0</v>
      </c>
      <c r="CL78" s="2">
        <v>0</v>
      </c>
      <c r="CM78" s="2">
        <v>0</v>
      </c>
      <c r="CN78" s="2">
        <v>0</v>
      </c>
      <c r="CO78" s="2">
        <v>0</v>
      </c>
      <c r="CP78" s="2">
        <v>0</v>
      </c>
      <c r="CQ78" s="2">
        <v>0</v>
      </c>
      <c r="CR78" s="2">
        <v>0</v>
      </c>
      <c r="CS78" s="2">
        <v>0</v>
      </c>
      <c r="CT78" s="2">
        <v>0</v>
      </c>
      <c r="CU78" s="2">
        <v>0</v>
      </c>
      <c r="CV78" s="2">
        <v>0</v>
      </c>
      <c r="CW78" s="2">
        <v>0</v>
      </c>
      <c r="CX78" s="2">
        <v>0</v>
      </c>
      <c r="CY78" s="2">
        <v>0</v>
      </c>
      <c r="CZ78" s="2">
        <v>0</v>
      </c>
      <c r="DA78" s="2">
        <v>0</v>
      </c>
      <c r="DB78" s="2">
        <v>0</v>
      </c>
      <c r="DC78" s="2">
        <v>0</v>
      </c>
      <c r="DD78" s="57">
        <f>$G78*1000</f>
        <v>439</v>
      </c>
      <c r="DE78" s="2">
        <v>0</v>
      </c>
      <c r="DF78" s="2">
        <v>0</v>
      </c>
    </row>
    <row r="79" spans="1:110" ht="17" x14ac:dyDescent="0.2">
      <c r="A79" s="2" t="s">
        <v>304</v>
      </c>
      <c r="B79" s="2" t="s">
        <v>205</v>
      </c>
      <c r="D79" s="2" t="s">
        <v>59</v>
      </c>
      <c r="E79" s="2" t="str">
        <f t="shared" si="18"/>
        <v>Lagenholz Brettschichtholz  - RER</v>
      </c>
      <c r="F79" s="2" t="s">
        <v>89</v>
      </c>
      <c r="G79" s="2">
        <f>HLOOKUP($H79,'LCIA Daten manuell'!$A$1:$CU$3,3,FALSE)/1000</f>
        <v>0.439</v>
      </c>
      <c r="H79" s="2" t="str">
        <f t="shared" si="13"/>
        <v>Glued laminated timber, average glue mix, at plant - RER</v>
      </c>
      <c r="I79" s="36">
        <f>1.5*J79+0.294</f>
        <v>2.0215559999999999</v>
      </c>
      <c r="J79" s="36">
        <f>0.42*1.08*1.09+0.632*1.04</f>
        <v>1.1517040000000001</v>
      </c>
      <c r="K79" s="36">
        <f>0.42+0.632</f>
        <v>1.052</v>
      </c>
      <c r="L79" s="2">
        <v>0</v>
      </c>
      <c r="M79" s="2">
        <v>0</v>
      </c>
      <c r="N79" s="2">
        <v>0</v>
      </c>
      <c r="O79" s="2">
        <f>-HLOOKUP("m3 Rundholz/m3 Produkt",$I$2:$K$103,ROW()-1,FALSE)</f>
        <v>-2.0215559999999999</v>
      </c>
      <c r="P79" s="2">
        <f>-27.8-(0.42*1.08*1.09+0.632*1.04)*57.3</f>
        <v>-93.792639199999996</v>
      </c>
      <c r="Q79" s="2">
        <v>0</v>
      </c>
      <c r="R79" s="2">
        <v>0</v>
      </c>
      <c r="S79" s="2">
        <v>0</v>
      </c>
      <c r="T79" s="2">
        <v>0</v>
      </c>
      <c r="U79" s="2">
        <v>0</v>
      </c>
      <c r="V79" s="2">
        <v>0</v>
      </c>
      <c r="W79" s="2">
        <v>0</v>
      </c>
      <c r="X79" s="2">
        <v>0</v>
      </c>
      <c r="Y79" s="2">
        <v>0</v>
      </c>
      <c r="Z79" s="2">
        <v>0</v>
      </c>
      <c r="AA79" s="2">
        <v>0</v>
      </c>
      <c r="AB79" s="2">
        <v>0</v>
      </c>
      <c r="AC79" s="2">
        <v>0</v>
      </c>
      <c r="AD79" s="2">
        <v>0</v>
      </c>
      <c r="AE79" s="2">
        <v>0</v>
      </c>
      <c r="AF79" s="2">
        <v>0</v>
      </c>
      <c r="AG79" s="2">
        <v>0</v>
      </c>
      <c r="AH79" s="2">
        <v>0</v>
      </c>
      <c r="AI79" s="2">
        <v>0</v>
      </c>
      <c r="AJ79" s="2">
        <v>0</v>
      </c>
      <c r="AK79" s="2">
        <v>0</v>
      </c>
      <c r="AL79" s="2">
        <v>0</v>
      </c>
      <c r="AM79" s="2">
        <v>0</v>
      </c>
      <c r="AN79" s="37">
        <v>0</v>
      </c>
      <c r="AO79" s="2">
        <v>0</v>
      </c>
      <c r="AP79" s="2">
        <v>0</v>
      </c>
      <c r="AQ79" s="2">
        <v>0</v>
      </c>
      <c r="AR79" s="2">
        <v>0</v>
      </c>
      <c r="AS79" s="2">
        <v>0</v>
      </c>
      <c r="AT79" s="2">
        <v>0</v>
      </c>
      <c r="AU79" s="2">
        <v>0</v>
      </c>
      <c r="AV79" s="2">
        <v>0</v>
      </c>
      <c r="AW79" s="2">
        <v>0</v>
      </c>
      <c r="AX79" s="2">
        <v>0</v>
      </c>
      <c r="AY79" s="2">
        <v>0</v>
      </c>
      <c r="AZ79" s="2">
        <v>0</v>
      </c>
      <c r="BA79" s="2">
        <v>0</v>
      </c>
      <c r="BB79" s="2">
        <v>0</v>
      </c>
      <c r="BC79" s="2">
        <v>0</v>
      </c>
      <c r="BD79" s="2">
        <v>0</v>
      </c>
      <c r="BE79" s="2">
        <v>0</v>
      </c>
      <c r="BF79" s="2">
        <v>0</v>
      </c>
      <c r="BG79" s="2">
        <v>0</v>
      </c>
      <c r="BH79" s="2">
        <v>0</v>
      </c>
      <c r="BI79" s="2">
        <v>0</v>
      </c>
      <c r="BJ79" s="2">
        <v>0</v>
      </c>
      <c r="BK79" s="2">
        <v>0</v>
      </c>
      <c r="BL79" s="2">
        <v>0</v>
      </c>
      <c r="BM79" s="2">
        <v>0</v>
      </c>
      <c r="BN79" s="2">
        <v>0</v>
      </c>
      <c r="BO79" s="2">
        <v>0</v>
      </c>
      <c r="BP79" s="2">
        <v>0</v>
      </c>
      <c r="BQ79" s="2">
        <v>0</v>
      </c>
      <c r="BR79" s="2">
        <v>0</v>
      </c>
      <c r="BS79" s="2">
        <v>0</v>
      </c>
      <c r="BT79" s="2">
        <v>0</v>
      </c>
      <c r="BU79" s="2">
        <v>0</v>
      </c>
      <c r="BV79" s="2">
        <v>0</v>
      </c>
      <c r="BW79" s="2">
        <v>0</v>
      </c>
      <c r="BX79" s="2">
        <v>0</v>
      </c>
      <c r="BY79" s="2">
        <v>0</v>
      </c>
      <c r="BZ79" s="2">
        <v>0</v>
      </c>
      <c r="CA79" s="2">
        <v>0</v>
      </c>
      <c r="CB79" s="2">
        <v>0</v>
      </c>
      <c r="CC79" s="2">
        <v>0</v>
      </c>
      <c r="CD79" s="2">
        <v>0</v>
      </c>
      <c r="CE79" s="2">
        <v>0</v>
      </c>
      <c r="CF79" s="2">
        <v>0</v>
      </c>
      <c r="CG79" s="2">
        <v>0</v>
      </c>
      <c r="CH79" s="2">
        <v>1</v>
      </c>
      <c r="CI79" s="2">
        <v>0</v>
      </c>
      <c r="CJ79" s="2">
        <v>0</v>
      </c>
      <c r="CK79" s="2">
        <v>0</v>
      </c>
      <c r="CL79" s="2">
        <v>0</v>
      </c>
      <c r="CM79" s="2">
        <v>0</v>
      </c>
      <c r="CN79" s="2">
        <v>0</v>
      </c>
      <c r="CO79" s="2">
        <v>0</v>
      </c>
      <c r="CP79" s="2">
        <v>0</v>
      </c>
      <c r="CQ79" s="2">
        <v>0</v>
      </c>
      <c r="CR79" s="2">
        <v>0</v>
      </c>
      <c r="CS79" s="2">
        <v>0</v>
      </c>
      <c r="CT79" s="2">
        <v>0</v>
      </c>
      <c r="CU79" s="2">
        <v>0</v>
      </c>
      <c r="CV79" s="2">
        <v>0</v>
      </c>
      <c r="CW79" s="2">
        <v>0</v>
      </c>
      <c r="CX79" s="2">
        <v>0</v>
      </c>
      <c r="CY79" s="2">
        <v>0</v>
      </c>
      <c r="CZ79" s="2">
        <v>0</v>
      </c>
      <c r="DA79" s="2">
        <v>0</v>
      </c>
      <c r="DB79" s="2">
        <v>0</v>
      </c>
      <c r="DC79" s="2">
        <v>0</v>
      </c>
      <c r="DD79" s="57">
        <f>$G79*1000</f>
        <v>439</v>
      </c>
      <c r="DE79" s="2">
        <v>0</v>
      </c>
      <c r="DF79" s="2">
        <v>0</v>
      </c>
    </row>
    <row r="80" spans="1:110" ht="34" x14ac:dyDescent="0.2">
      <c r="A80" s="2" t="s">
        <v>304</v>
      </c>
      <c r="B80" s="2" t="s">
        <v>209</v>
      </c>
      <c r="D80" s="2" t="s">
        <v>58</v>
      </c>
      <c r="E80" s="2" t="str">
        <f t="shared" ref="E80" si="19">CONCATENATE(A80," ",B80," ",C80," - ",D80)</f>
        <v>Lagenholz Drei- oder Fünfschichtplatte  - CH</v>
      </c>
      <c r="F80" s="2" t="s">
        <v>89</v>
      </c>
      <c r="G80" s="2">
        <f>HLOOKUP($H80,'LCIA Daten manuell'!$A$1:$CU$3,3,FALSE)/1000</f>
        <v>0.45300000000000001</v>
      </c>
      <c r="H80" s="2" t="str">
        <f t="shared" si="13"/>
        <v>Three- and five-layered board, at plant - RER</v>
      </c>
      <c r="I80" s="36">
        <f>2.15+1.5*(0.115*1.08*1.09+0.0672*1.04)</f>
        <v>2.4578989999999998</v>
      </c>
      <c r="J80" s="36">
        <f>0.115*1.08*1.09+0.0672*1.04+2.15/1.5</f>
        <v>1.6385993333333333</v>
      </c>
      <c r="K80" s="36">
        <f>0.115+0.0672+2.25/1.5/1.08/1.09</f>
        <v>1.4564099898063199</v>
      </c>
      <c r="L80" s="2">
        <v>0</v>
      </c>
      <c r="M80" s="2">
        <v>0</v>
      </c>
      <c r="N80" s="2">
        <v>0</v>
      </c>
      <c r="O80" s="2">
        <f>-HLOOKUP("m3 Rundholz/m3 Produkt",$I$2:$K$103,ROW()-1,FALSE)</f>
        <v>-2.4578989999999998</v>
      </c>
      <c r="P80" s="2">
        <f>-195-(0.115*1.08*1.09+0.0672*1.04)*57.3</f>
        <v>-206.76174180000001</v>
      </c>
      <c r="Q80" s="2">
        <v>0</v>
      </c>
      <c r="R80" s="2">
        <v>0</v>
      </c>
      <c r="S80" s="2">
        <v>0</v>
      </c>
      <c r="T80" s="2">
        <v>0</v>
      </c>
      <c r="U80" s="2">
        <v>0</v>
      </c>
      <c r="V80" s="2">
        <v>0</v>
      </c>
      <c r="W80" s="2">
        <v>0</v>
      </c>
      <c r="X80" s="2">
        <v>0</v>
      </c>
      <c r="Y80" s="2">
        <v>0</v>
      </c>
      <c r="Z80" s="2">
        <v>0</v>
      </c>
      <c r="AA80" s="2">
        <v>0</v>
      </c>
      <c r="AB80" s="2">
        <v>0</v>
      </c>
      <c r="AC80" s="2">
        <v>0</v>
      </c>
      <c r="AD80" s="2">
        <v>0</v>
      </c>
      <c r="AE80" s="2">
        <v>0</v>
      </c>
      <c r="AF80" s="2">
        <v>0</v>
      </c>
      <c r="AG80" s="2">
        <v>0</v>
      </c>
      <c r="AH80" s="2">
        <v>0</v>
      </c>
      <c r="AI80" s="2">
        <v>0</v>
      </c>
      <c r="AJ80" s="2">
        <v>0</v>
      </c>
      <c r="AK80" s="2">
        <v>0</v>
      </c>
      <c r="AL80" s="2">
        <v>0</v>
      </c>
      <c r="AM80" s="2">
        <v>0</v>
      </c>
      <c r="AN80" s="37">
        <v>0</v>
      </c>
      <c r="AO80" s="2">
        <v>0</v>
      </c>
      <c r="AP80" s="2">
        <v>0</v>
      </c>
      <c r="AQ80" s="2">
        <v>0</v>
      </c>
      <c r="AR80" s="2">
        <v>0</v>
      </c>
      <c r="AS80" s="2">
        <v>0</v>
      </c>
      <c r="AT80" s="2">
        <v>0</v>
      </c>
      <c r="AU80" s="2">
        <v>0</v>
      </c>
      <c r="AV80" s="2">
        <v>0</v>
      </c>
      <c r="AW80" s="2">
        <v>0</v>
      </c>
      <c r="AX80" s="2">
        <v>0</v>
      </c>
      <c r="AY80" s="2">
        <v>0</v>
      </c>
      <c r="AZ80" s="2">
        <v>0</v>
      </c>
      <c r="BA80" s="2">
        <v>0</v>
      </c>
      <c r="BB80" s="2">
        <v>0</v>
      </c>
      <c r="BC80" s="2">
        <v>0</v>
      </c>
      <c r="BD80" s="2">
        <v>0</v>
      </c>
      <c r="BE80" s="2">
        <v>0</v>
      </c>
      <c r="BF80" s="2">
        <v>0</v>
      </c>
      <c r="BG80" s="2">
        <v>0</v>
      </c>
      <c r="BH80" s="2">
        <v>0</v>
      </c>
      <c r="BI80" s="2">
        <v>0</v>
      </c>
      <c r="BJ80" s="2">
        <v>0</v>
      </c>
      <c r="BK80" s="2">
        <v>0</v>
      </c>
      <c r="BL80" s="2">
        <v>0</v>
      </c>
      <c r="BM80" s="2">
        <v>0</v>
      </c>
      <c r="BN80" s="2">
        <v>0</v>
      </c>
      <c r="BO80" s="2">
        <v>0</v>
      </c>
      <c r="BP80" s="2">
        <v>0</v>
      </c>
      <c r="BQ80" s="2">
        <v>0</v>
      </c>
      <c r="BR80" s="2">
        <v>0</v>
      </c>
      <c r="BS80" s="2">
        <v>0</v>
      </c>
      <c r="BT80" s="2">
        <v>0</v>
      </c>
      <c r="BU80" s="2">
        <v>0</v>
      </c>
      <c r="BV80" s="2">
        <v>0</v>
      </c>
      <c r="BW80" s="2">
        <v>0</v>
      </c>
      <c r="BX80" s="2">
        <v>0</v>
      </c>
      <c r="BY80" s="2">
        <v>0</v>
      </c>
      <c r="BZ80" s="2">
        <v>0</v>
      </c>
      <c r="CA80" s="2">
        <v>0</v>
      </c>
      <c r="CB80" s="2">
        <v>0</v>
      </c>
      <c r="CC80" s="2">
        <v>0</v>
      </c>
      <c r="CD80" s="2">
        <v>0</v>
      </c>
      <c r="CE80" s="2">
        <v>0</v>
      </c>
      <c r="CF80" s="2">
        <v>0</v>
      </c>
      <c r="CG80" s="2">
        <v>0</v>
      </c>
      <c r="CH80" s="2">
        <v>0</v>
      </c>
      <c r="CI80" s="2">
        <v>0</v>
      </c>
      <c r="CJ80" s="2">
        <v>0</v>
      </c>
      <c r="CK80" s="2">
        <v>0</v>
      </c>
      <c r="CL80" s="2">
        <v>0</v>
      </c>
      <c r="CM80" s="2">
        <v>1</v>
      </c>
      <c r="CN80" s="2">
        <v>0</v>
      </c>
      <c r="CO80" s="2">
        <v>0</v>
      </c>
      <c r="CP80" s="2">
        <v>0</v>
      </c>
      <c r="CQ80" s="2">
        <v>0</v>
      </c>
      <c r="CR80" s="2">
        <v>0</v>
      </c>
      <c r="CS80" s="2">
        <v>0</v>
      </c>
      <c r="CT80" s="2">
        <v>0</v>
      </c>
      <c r="CU80" s="2">
        <v>0</v>
      </c>
      <c r="CV80" s="2">
        <v>0</v>
      </c>
      <c r="CW80" s="2">
        <v>0</v>
      </c>
      <c r="CX80" s="2">
        <v>0</v>
      </c>
      <c r="CY80" s="2">
        <v>0</v>
      </c>
      <c r="CZ80" s="2">
        <v>0</v>
      </c>
      <c r="DA80" s="57">
        <f>$G80*1000</f>
        <v>453</v>
      </c>
      <c r="DB80" s="2">
        <v>0</v>
      </c>
      <c r="DC80" s="2">
        <v>0</v>
      </c>
      <c r="DD80" s="2">
        <v>0</v>
      </c>
      <c r="DE80" s="2">
        <v>0</v>
      </c>
      <c r="DF80" s="2">
        <v>0</v>
      </c>
    </row>
    <row r="81" spans="1:110" ht="34" x14ac:dyDescent="0.2">
      <c r="A81" s="2" t="s">
        <v>304</v>
      </c>
      <c r="B81" s="2" t="s">
        <v>209</v>
      </c>
      <c r="D81" s="2" t="s">
        <v>59</v>
      </c>
      <c r="E81" s="2" t="str">
        <f t="shared" si="18"/>
        <v>Lagenholz Drei- oder Fünfschichtplatte  - RER</v>
      </c>
      <c r="F81" s="2" t="s">
        <v>89</v>
      </c>
      <c r="G81" s="2">
        <f>HLOOKUP($H81,'LCIA Daten manuell'!$A$1:$CU$3,3,FALSE)/1000</f>
        <v>0.45300000000000001</v>
      </c>
      <c r="H81" s="2" t="str">
        <f t="shared" si="13"/>
        <v>Three- and five-layered board, at plant - RER</v>
      </c>
      <c r="I81" s="36">
        <f>I80</f>
        <v>2.4578989999999998</v>
      </c>
      <c r="J81" s="36">
        <f>J80</f>
        <v>1.6385993333333333</v>
      </c>
      <c r="K81" s="36">
        <f>K80</f>
        <v>1.4564099898063199</v>
      </c>
      <c r="L81" s="2">
        <v>0</v>
      </c>
      <c r="M81" s="2">
        <v>0</v>
      </c>
      <c r="N81" s="2">
        <v>0</v>
      </c>
      <c r="O81" s="2">
        <f>-HLOOKUP("m3 Rundholz/m3 Produkt",$I$2:$K$103,ROW()-1,FALSE)</f>
        <v>-2.4578989999999998</v>
      </c>
      <c r="P81" s="2">
        <f>P80</f>
        <v>-206.76174180000001</v>
      </c>
      <c r="Q81" s="2">
        <v>0</v>
      </c>
      <c r="R81" s="2">
        <v>0</v>
      </c>
      <c r="S81" s="2">
        <v>0</v>
      </c>
      <c r="T81" s="2">
        <v>0</v>
      </c>
      <c r="U81" s="2">
        <v>0</v>
      </c>
      <c r="V81" s="2">
        <v>0</v>
      </c>
      <c r="W81" s="2">
        <v>0</v>
      </c>
      <c r="X81" s="2">
        <v>0</v>
      </c>
      <c r="Y81" s="2">
        <v>0</v>
      </c>
      <c r="Z81" s="2">
        <v>0</v>
      </c>
      <c r="AA81" s="2">
        <v>0</v>
      </c>
      <c r="AB81" s="2">
        <v>0</v>
      </c>
      <c r="AC81" s="2">
        <v>0</v>
      </c>
      <c r="AD81" s="2">
        <v>0</v>
      </c>
      <c r="AE81" s="2">
        <v>0</v>
      </c>
      <c r="AF81" s="2">
        <v>0</v>
      </c>
      <c r="AG81" s="2">
        <v>0</v>
      </c>
      <c r="AH81" s="2">
        <v>0</v>
      </c>
      <c r="AI81" s="2">
        <v>0</v>
      </c>
      <c r="AJ81" s="2">
        <v>0</v>
      </c>
      <c r="AK81" s="2">
        <v>0</v>
      </c>
      <c r="AL81" s="2">
        <v>0</v>
      </c>
      <c r="AM81" s="2">
        <v>0</v>
      </c>
      <c r="AN81" s="37">
        <v>0</v>
      </c>
      <c r="AO81" s="2">
        <v>0</v>
      </c>
      <c r="AP81" s="2">
        <v>0</v>
      </c>
      <c r="AQ81" s="2">
        <v>0</v>
      </c>
      <c r="AR81" s="2">
        <v>0</v>
      </c>
      <c r="AS81" s="2">
        <v>0</v>
      </c>
      <c r="AT81" s="2">
        <v>0</v>
      </c>
      <c r="AU81" s="2">
        <v>0</v>
      </c>
      <c r="AV81" s="2">
        <v>0</v>
      </c>
      <c r="AW81" s="2">
        <v>0</v>
      </c>
      <c r="AX81" s="2">
        <v>0</v>
      </c>
      <c r="AY81" s="2">
        <v>0</v>
      </c>
      <c r="AZ81" s="2">
        <v>0</v>
      </c>
      <c r="BA81" s="2">
        <v>0</v>
      </c>
      <c r="BB81" s="2">
        <v>0</v>
      </c>
      <c r="BC81" s="2">
        <v>0</v>
      </c>
      <c r="BD81" s="2">
        <v>0</v>
      </c>
      <c r="BE81" s="2">
        <v>0</v>
      </c>
      <c r="BF81" s="2">
        <v>0</v>
      </c>
      <c r="BG81" s="2">
        <v>0</v>
      </c>
      <c r="BH81" s="2">
        <v>0</v>
      </c>
      <c r="BI81" s="2">
        <v>0</v>
      </c>
      <c r="BJ81" s="2">
        <v>0</v>
      </c>
      <c r="BK81" s="2">
        <v>0</v>
      </c>
      <c r="BL81" s="2">
        <v>0</v>
      </c>
      <c r="BM81" s="2">
        <v>0</v>
      </c>
      <c r="BN81" s="2">
        <v>0</v>
      </c>
      <c r="BO81" s="2">
        <v>0</v>
      </c>
      <c r="BP81" s="2">
        <v>0</v>
      </c>
      <c r="BQ81" s="2">
        <v>0</v>
      </c>
      <c r="BR81" s="2">
        <v>0</v>
      </c>
      <c r="BS81" s="2">
        <v>0</v>
      </c>
      <c r="BT81" s="2">
        <v>0</v>
      </c>
      <c r="BU81" s="2">
        <v>0</v>
      </c>
      <c r="BV81" s="2">
        <v>0</v>
      </c>
      <c r="BW81" s="2">
        <v>0</v>
      </c>
      <c r="BX81" s="2">
        <v>0</v>
      </c>
      <c r="BY81" s="2">
        <v>0</v>
      </c>
      <c r="BZ81" s="2">
        <v>0</v>
      </c>
      <c r="CA81" s="2">
        <v>0</v>
      </c>
      <c r="CB81" s="2">
        <v>0</v>
      </c>
      <c r="CC81" s="2">
        <v>0</v>
      </c>
      <c r="CD81" s="2">
        <v>0</v>
      </c>
      <c r="CE81" s="2">
        <v>0</v>
      </c>
      <c r="CF81" s="2">
        <v>0</v>
      </c>
      <c r="CG81" s="2">
        <v>0</v>
      </c>
      <c r="CH81" s="2">
        <v>0</v>
      </c>
      <c r="CI81" s="2">
        <v>0</v>
      </c>
      <c r="CJ81" s="2">
        <v>0</v>
      </c>
      <c r="CK81" s="2">
        <v>0</v>
      </c>
      <c r="CL81" s="2">
        <v>0</v>
      </c>
      <c r="CM81" s="2">
        <v>1</v>
      </c>
      <c r="CN81" s="2">
        <v>0</v>
      </c>
      <c r="CO81" s="2">
        <v>0</v>
      </c>
      <c r="CP81" s="2">
        <v>0</v>
      </c>
      <c r="CQ81" s="2">
        <v>0</v>
      </c>
      <c r="CR81" s="2">
        <v>0</v>
      </c>
      <c r="CS81" s="2">
        <v>0</v>
      </c>
      <c r="CT81" s="2">
        <v>0</v>
      </c>
      <c r="CU81" s="2">
        <v>0</v>
      </c>
      <c r="CV81" s="2">
        <v>0</v>
      </c>
      <c r="CW81" s="2">
        <v>0</v>
      </c>
      <c r="CX81" s="2">
        <v>0</v>
      </c>
      <c r="CY81" s="2">
        <v>0</v>
      </c>
      <c r="CZ81" s="2">
        <v>0</v>
      </c>
      <c r="DA81" s="57">
        <f>$G81*1000</f>
        <v>453</v>
      </c>
      <c r="DB81" s="2">
        <v>0</v>
      </c>
      <c r="DC81" s="2">
        <v>0</v>
      </c>
      <c r="DD81" s="2">
        <v>0</v>
      </c>
      <c r="DE81" s="2">
        <v>0</v>
      </c>
      <c r="DF81" s="2">
        <v>0</v>
      </c>
    </row>
    <row r="82" spans="1:110" ht="17" x14ac:dyDescent="0.2">
      <c r="A82" s="2" t="s">
        <v>304</v>
      </c>
      <c r="B82" s="2" t="s">
        <v>305</v>
      </c>
      <c r="D82" s="2" t="s">
        <v>58</v>
      </c>
      <c r="E82" s="2" t="str">
        <f t="shared" si="18"/>
        <v>Lagenholz Balkenschichtholz  - CH</v>
      </c>
      <c r="F82" s="2" t="s">
        <v>89</v>
      </c>
      <c r="G82" s="2">
        <f>HLOOKUP($H82,'LCIA Daten manuell'!$A$1:$CU$3,3,FALSE)/1000</f>
        <v>0.439</v>
      </c>
      <c r="H82" s="1" t="str">
        <f t="shared" si="13"/>
        <v>Glued solid timber, average glue mix, at plant - CH</v>
      </c>
      <c r="I82" s="36">
        <f>1.5*J82</f>
        <v>2.0821725000000004</v>
      </c>
      <c r="J82" s="36">
        <f>1.09*K82</f>
        <v>1.3881150000000002</v>
      </c>
      <c r="K82" s="36">
        <f>1.2735</f>
        <v>1.2735000000000001</v>
      </c>
      <c r="L82" s="2">
        <v>0</v>
      </c>
      <c r="M82" s="2">
        <v>0</v>
      </c>
      <c r="N82" s="2">
        <f>-HLOOKUP("m3 Rundholz/m3 Produkt",$I$2:$K$103,ROW()-1,FALSE)*1.21/(1.21+0.0635)</f>
        <v>-1.9783500000000005</v>
      </c>
      <c r="O82" s="2">
        <f>-HLOOKUP("m3 Rundholz/m3 Produkt",$I$2:$K$103,ROW()-1,FALSE)*0.0635/(1.21+0.0635)</f>
        <v>-0.10382250000000004</v>
      </c>
      <c r="P82" s="2">
        <v>0</v>
      </c>
      <c r="Q82" s="2">
        <f>-(0.0635+1.21)*1.09*57.3</f>
        <v>-79.5389895</v>
      </c>
      <c r="R82" s="2">
        <v>0</v>
      </c>
      <c r="S82" s="2">
        <v>0</v>
      </c>
      <c r="T82" s="2">
        <v>0</v>
      </c>
      <c r="U82" s="2">
        <v>0</v>
      </c>
      <c r="V82" s="2">
        <v>0</v>
      </c>
      <c r="W82" s="2">
        <v>0</v>
      </c>
      <c r="X82" s="2">
        <v>0</v>
      </c>
      <c r="Y82" s="2">
        <v>0</v>
      </c>
      <c r="Z82" s="2">
        <v>0</v>
      </c>
      <c r="AA82" s="2">
        <v>0</v>
      </c>
      <c r="AB82" s="2">
        <v>0</v>
      </c>
      <c r="AC82" s="2">
        <v>0</v>
      </c>
      <c r="AD82" s="2">
        <v>0</v>
      </c>
      <c r="AE82" s="2">
        <v>0</v>
      </c>
      <c r="AF82" s="2">
        <v>0</v>
      </c>
      <c r="AG82" s="2">
        <v>0</v>
      </c>
      <c r="AH82" s="2">
        <v>0</v>
      </c>
      <c r="AI82" s="2">
        <v>0</v>
      </c>
      <c r="AJ82" s="2">
        <v>0</v>
      </c>
      <c r="AK82" s="2">
        <v>0</v>
      </c>
      <c r="AL82" s="2">
        <v>0</v>
      </c>
      <c r="AM82" s="2">
        <v>0</v>
      </c>
      <c r="AN82" s="2">
        <v>0</v>
      </c>
      <c r="AO82" s="2">
        <v>0</v>
      </c>
      <c r="AP82" s="2">
        <v>0</v>
      </c>
      <c r="AQ82" s="2">
        <v>0</v>
      </c>
      <c r="AR82" s="2">
        <v>0</v>
      </c>
      <c r="AS82" s="2">
        <v>0</v>
      </c>
      <c r="AT82" s="2">
        <v>0</v>
      </c>
      <c r="AU82" s="2">
        <v>0</v>
      </c>
      <c r="AV82" s="2">
        <v>0</v>
      </c>
      <c r="AW82" s="2">
        <v>0</v>
      </c>
      <c r="AX82" s="2">
        <v>0</v>
      </c>
      <c r="AY82" s="2">
        <v>0</v>
      </c>
      <c r="AZ82" s="2">
        <v>0</v>
      </c>
      <c r="BA82" s="2">
        <v>0</v>
      </c>
      <c r="BB82" s="2">
        <v>0</v>
      </c>
      <c r="BC82" s="2">
        <v>0</v>
      </c>
      <c r="BD82" s="2">
        <v>0</v>
      </c>
      <c r="BE82" s="2">
        <v>0</v>
      </c>
      <c r="BF82" s="2">
        <v>0</v>
      </c>
      <c r="BG82" s="2">
        <v>0</v>
      </c>
      <c r="BH82" s="2">
        <v>0</v>
      </c>
      <c r="BI82" s="2">
        <v>0</v>
      </c>
      <c r="BJ82" s="2">
        <v>0</v>
      </c>
      <c r="BK82" s="2">
        <v>0</v>
      </c>
      <c r="BL82" s="2">
        <v>0</v>
      </c>
      <c r="BM82" s="2">
        <v>0</v>
      </c>
      <c r="BN82" s="2">
        <v>0</v>
      </c>
      <c r="BO82" s="2">
        <v>0</v>
      </c>
      <c r="BP82" s="2">
        <v>0</v>
      </c>
      <c r="BQ82" s="2">
        <v>0</v>
      </c>
      <c r="BR82" s="2">
        <v>0</v>
      </c>
      <c r="BS82" s="2">
        <v>0</v>
      </c>
      <c r="BT82" s="2">
        <v>0</v>
      </c>
      <c r="BU82" s="2">
        <v>0</v>
      </c>
      <c r="BV82" s="2">
        <v>0</v>
      </c>
      <c r="BW82" s="2">
        <v>0</v>
      </c>
      <c r="BX82" s="2">
        <v>0</v>
      </c>
      <c r="BY82" s="2">
        <v>0</v>
      </c>
      <c r="BZ82" s="2">
        <v>0</v>
      </c>
      <c r="CA82" s="2">
        <v>0</v>
      </c>
      <c r="CB82" s="2">
        <v>0</v>
      </c>
      <c r="CC82" s="2">
        <v>0</v>
      </c>
      <c r="CD82" s="2">
        <v>0</v>
      </c>
      <c r="CE82" s="2">
        <v>0</v>
      </c>
      <c r="CF82" s="2">
        <v>0</v>
      </c>
      <c r="CG82" s="2">
        <v>0</v>
      </c>
      <c r="CH82" s="2">
        <v>0</v>
      </c>
      <c r="CI82" s="2">
        <v>0</v>
      </c>
      <c r="CJ82" s="2">
        <v>0</v>
      </c>
      <c r="CK82" s="2">
        <v>0</v>
      </c>
      <c r="CL82" s="2">
        <v>0</v>
      </c>
      <c r="CM82" s="2">
        <v>0</v>
      </c>
      <c r="CN82" s="2">
        <v>0</v>
      </c>
      <c r="CO82" s="2">
        <v>1</v>
      </c>
      <c r="CP82" s="2">
        <v>0</v>
      </c>
      <c r="CQ82" s="2">
        <v>0</v>
      </c>
      <c r="CR82" s="2">
        <v>0</v>
      </c>
      <c r="CS82" s="2">
        <v>0</v>
      </c>
      <c r="CT82" s="2">
        <v>0</v>
      </c>
      <c r="CU82" s="2">
        <v>0</v>
      </c>
      <c r="CV82" s="2">
        <v>0</v>
      </c>
      <c r="CW82" s="2">
        <v>0</v>
      </c>
      <c r="CX82" s="2">
        <v>0</v>
      </c>
      <c r="CY82" s="2">
        <v>0</v>
      </c>
      <c r="CZ82" s="2">
        <v>0</v>
      </c>
      <c r="DA82" s="2">
        <v>0</v>
      </c>
      <c r="DB82" s="2">
        <v>0</v>
      </c>
      <c r="DC82" s="2">
        <v>0</v>
      </c>
      <c r="DD82" s="57">
        <f>$G82*1000</f>
        <v>439</v>
      </c>
      <c r="DE82" s="2">
        <v>0</v>
      </c>
      <c r="DF82" s="2">
        <v>0</v>
      </c>
    </row>
    <row r="83" spans="1:110" ht="17" x14ac:dyDescent="0.2">
      <c r="A83" s="2" t="s">
        <v>304</v>
      </c>
      <c r="B83" s="2" t="s">
        <v>305</v>
      </c>
      <c r="D83" s="2" t="s">
        <v>59</v>
      </c>
      <c r="E83" s="2" t="str">
        <f t="shared" si="18"/>
        <v>Lagenholz Balkenschichtholz  - RER</v>
      </c>
      <c r="F83" s="2" t="s">
        <v>89</v>
      </c>
      <c r="G83" s="2">
        <f>HLOOKUP($H83,'LCIA Daten manuell'!$A$1:$CU$3,3,FALSE)/1000</f>
        <v>0.439</v>
      </c>
      <c r="H83" s="2" t="str">
        <f t="shared" si="13"/>
        <v>Glued solid timber, average glue mix, at plant - RER</v>
      </c>
      <c r="I83" s="36">
        <f>1.5*J83+0.359</f>
        <v>2.1051799999999998</v>
      </c>
      <c r="J83" s="36">
        <f>1.09*K83</f>
        <v>1.16412</v>
      </c>
      <c r="K83" s="36">
        <v>1.0680000000000001</v>
      </c>
      <c r="L83" s="2">
        <v>0</v>
      </c>
      <c r="M83" s="2">
        <v>0</v>
      </c>
      <c r="N83" s="2">
        <v>0</v>
      </c>
      <c r="O83" s="2">
        <f>-HLOOKUP("m3 Rundholz/m3 Produkt",$I$2:$K$103,ROW()-1,FALSE)</f>
        <v>-2.1051799999999998</v>
      </c>
      <c r="P83" s="2">
        <f>-33.3-(0.664*1.08*1.09+0.404*1.04)*57.3</f>
        <v>-102.16433184</v>
      </c>
      <c r="Q83" s="2">
        <v>0</v>
      </c>
      <c r="R83" s="2">
        <v>0</v>
      </c>
      <c r="S83" s="2">
        <v>0</v>
      </c>
      <c r="T83" s="2">
        <v>0</v>
      </c>
      <c r="U83" s="2">
        <v>0</v>
      </c>
      <c r="V83" s="2">
        <v>0</v>
      </c>
      <c r="W83" s="2">
        <v>0</v>
      </c>
      <c r="X83" s="2">
        <v>0</v>
      </c>
      <c r="Y83" s="2">
        <v>0</v>
      </c>
      <c r="Z83" s="2">
        <v>0</v>
      </c>
      <c r="AA83" s="2">
        <v>0</v>
      </c>
      <c r="AB83" s="2">
        <v>0</v>
      </c>
      <c r="AC83" s="2">
        <v>0</v>
      </c>
      <c r="AD83" s="2">
        <v>0</v>
      </c>
      <c r="AE83" s="2">
        <v>0</v>
      </c>
      <c r="AF83" s="2">
        <v>0</v>
      </c>
      <c r="AG83" s="2">
        <v>0</v>
      </c>
      <c r="AH83" s="2">
        <v>0</v>
      </c>
      <c r="AI83" s="2">
        <v>0</v>
      </c>
      <c r="AJ83" s="2">
        <v>0</v>
      </c>
      <c r="AK83" s="2">
        <v>0</v>
      </c>
      <c r="AL83" s="2">
        <v>0</v>
      </c>
      <c r="AM83" s="2">
        <v>0</v>
      </c>
      <c r="AN83" s="2">
        <v>0</v>
      </c>
      <c r="AO83" s="2">
        <v>0</v>
      </c>
      <c r="AP83" s="2">
        <v>0</v>
      </c>
      <c r="AQ83" s="2">
        <v>0</v>
      </c>
      <c r="AR83" s="2">
        <v>0</v>
      </c>
      <c r="AS83" s="2">
        <v>0</v>
      </c>
      <c r="AT83" s="2">
        <v>0</v>
      </c>
      <c r="AU83" s="2">
        <v>0</v>
      </c>
      <c r="AV83" s="2">
        <v>0</v>
      </c>
      <c r="AW83" s="2">
        <v>0</v>
      </c>
      <c r="AX83" s="2">
        <v>0</v>
      </c>
      <c r="AY83" s="2">
        <v>0</v>
      </c>
      <c r="AZ83" s="2">
        <v>0</v>
      </c>
      <c r="BA83" s="2">
        <v>0</v>
      </c>
      <c r="BB83" s="2">
        <v>0</v>
      </c>
      <c r="BC83" s="2">
        <v>0</v>
      </c>
      <c r="BD83" s="2">
        <v>0</v>
      </c>
      <c r="BE83" s="2">
        <v>0</v>
      </c>
      <c r="BF83" s="2">
        <v>0</v>
      </c>
      <c r="BG83" s="2">
        <v>0</v>
      </c>
      <c r="BH83" s="2">
        <v>0</v>
      </c>
      <c r="BI83" s="2">
        <v>0</v>
      </c>
      <c r="BJ83" s="2">
        <v>0</v>
      </c>
      <c r="BK83" s="2">
        <v>0</v>
      </c>
      <c r="BL83" s="2">
        <v>0</v>
      </c>
      <c r="BM83" s="2">
        <v>0</v>
      </c>
      <c r="BN83" s="2">
        <v>0</v>
      </c>
      <c r="BO83" s="2">
        <v>0</v>
      </c>
      <c r="BP83" s="2">
        <v>0</v>
      </c>
      <c r="BQ83" s="2">
        <v>0</v>
      </c>
      <c r="BR83" s="2">
        <v>0</v>
      </c>
      <c r="BS83" s="2">
        <v>0</v>
      </c>
      <c r="BT83" s="2">
        <v>0</v>
      </c>
      <c r="BU83" s="2">
        <v>0</v>
      </c>
      <c r="BV83" s="2">
        <v>0</v>
      </c>
      <c r="BW83" s="2">
        <v>0</v>
      </c>
      <c r="BX83" s="2">
        <v>0</v>
      </c>
      <c r="BY83" s="2">
        <v>0</v>
      </c>
      <c r="BZ83" s="2">
        <v>0</v>
      </c>
      <c r="CA83" s="2">
        <v>0</v>
      </c>
      <c r="CB83" s="2">
        <v>0</v>
      </c>
      <c r="CC83" s="2">
        <v>0</v>
      </c>
      <c r="CD83" s="2">
        <v>0</v>
      </c>
      <c r="CE83" s="2">
        <v>0</v>
      </c>
      <c r="CF83" s="2">
        <v>0</v>
      </c>
      <c r="CG83" s="2">
        <v>0</v>
      </c>
      <c r="CH83" s="2">
        <v>0</v>
      </c>
      <c r="CI83" s="2">
        <v>0</v>
      </c>
      <c r="CJ83" s="2">
        <v>0</v>
      </c>
      <c r="CK83" s="2">
        <v>0</v>
      </c>
      <c r="CL83" s="2">
        <v>0</v>
      </c>
      <c r="CM83" s="2">
        <v>0</v>
      </c>
      <c r="CN83" s="2">
        <v>1</v>
      </c>
      <c r="CO83" s="2">
        <v>0</v>
      </c>
      <c r="CP83" s="2">
        <v>0</v>
      </c>
      <c r="CQ83" s="2">
        <v>0</v>
      </c>
      <c r="CR83" s="2">
        <v>0</v>
      </c>
      <c r="CS83" s="2">
        <v>0</v>
      </c>
      <c r="CT83" s="2">
        <v>0</v>
      </c>
      <c r="CU83" s="2">
        <v>0</v>
      </c>
      <c r="CV83" s="2">
        <v>0</v>
      </c>
      <c r="CW83" s="2">
        <v>0</v>
      </c>
      <c r="CX83" s="2">
        <v>0</v>
      </c>
      <c r="CY83" s="2">
        <v>0</v>
      </c>
      <c r="CZ83" s="2">
        <v>0</v>
      </c>
      <c r="DA83" s="2">
        <v>0</v>
      </c>
      <c r="DB83" s="2">
        <v>0</v>
      </c>
      <c r="DC83" s="2">
        <v>0</v>
      </c>
      <c r="DD83" s="57">
        <f>$G83*1000</f>
        <v>439</v>
      </c>
      <c r="DE83" s="2">
        <v>0</v>
      </c>
      <c r="DF83" s="2">
        <v>0</v>
      </c>
    </row>
    <row r="84" spans="1:110" ht="34" x14ac:dyDescent="0.2">
      <c r="A84" s="2" t="s">
        <v>103</v>
      </c>
      <c r="B84" s="2" t="s">
        <v>88</v>
      </c>
      <c r="D84" s="2" t="s">
        <v>58</v>
      </c>
      <c r="E84" s="2" t="str">
        <f t="shared" si="18"/>
        <v>Stückholz als Energieholz Laubholz  - CH</v>
      </c>
      <c r="F84" s="2" t="s">
        <v>88</v>
      </c>
      <c r="G84" s="52" t="e">
        <f>'Auswertung Eingaben'!$M$4</f>
        <v>#N/A</v>
      </c>
      <c r="H84" s="55" t="e">
        <f t="shared" ref="H84:H89" si="20">INDEX(L$2:DG$2,1,MATCH($G84*1000,L84:DG84,0))</f>
        <v>#N/A</v>
      </c>
      <c r="I84" s="36">
        <v>1</v>
      </c>
      <c r="J84" s="36">
        <v>1</v>
      </c>
      <c r="K84" s="36">
        <v>1</v>
      </c>
      <c r="L84" s="2">
        <f>-HLOOKUP("m3 Rundholz/m3 Produkt",$I$2:$K$103,ROW()-1,FALSE)</f>
        <v>-1</v>
      </c>
      <c r="M84" s="2">
        <v>0</v>
      </c>
      <c r="N84" s="2">
        <v>0</v>
      </c>
      <c r="O84" s="2">
        <v>0</v>
      </c>
      <c r="P84" s="2">
        <v>0</v>
      </c>
      <c r="Q84" s="2">
        <v>0</v>
      </c>
      <c r="R84" s="2">
        <v>0</v>
      </c>
      <c r="S84" s="2">
        <v>0</v>
      </c>
      <c r="T84" s="2">
        <v>0</v>
      </c>
      <c r="U84" s="2">
        <v>0</v>
      </c>
      <c r="V84" s="2">
        <v>0</v>
      </c>
      <c r="W84" s="2">
        <v>0</v>
      </c>
      <c r="X84" s="2">
        <v>0</v>
      </c>
      <c r="Y84" s="2">
        <v>0</v>
      </c>
      <c r="Z84" s="2">
        <v>0</v>
      </c>
      <c r="AA84" s="2">
        <v>0</v>
      </c>
      <c r="AB84" s="2">
        <v>0</v>
      </c>
      <c r="AC84" s="2">
        <v>0</v>
      </c>
      <c r="AD84" s="2">
        <v>0</v>
      </c>
      <c r="AE84" s="2">
        <v>0</v>
      </c>
      <c r="AF84" s="2">
        <v>0</v>
      </c>
      <c r="AG84" s="2">
        <v>0</v>
      </c>
      <c r="AH84" s="2">
        <v>0</v>
      </c>
      <c r="AI84" s="2">
        <v>0</v>
      </c>
      <c r="AJ84" s="2">
        <v>0</v>
      </c>
      <c r="AK84" s="2">
        <v>0</v>
      </c>
      <c r="AL84" s="2">
        <v>0</v>
      </c>
      <c r="AM84" s="2">
        <v>0</v>
      </c>
      <c r="AN84" s="37">
        <v>0</v>
      </c>
      <c r="AO84" s="2">
        <v>0</v>
      </c>
      <c r="AP84" s="2">
        <v>0</v>
      </c>
      <c r="AQ84" s="2">
        <v>0</v>
      </c>
      <c r="AR84" s="2">
        <v>0</v>
      </c>
      <c r="AS84" s="2">
        <v>0</v>
      </c>
      <c r="AT84" s="2">
        <v>0</v>
      </c>
      <c r="AU84" s="2">
        <v>0</v>
      </c>
      <c r="AV84" s="2">
        <v>0</v>
      </c>
      <c r="AW84" s="2">
        <v>0</v>
      </c>
      <c r="AX84" s="2">
        <v>0</v>
      </c>
      <c r="AY84" s="2">
        <v>0</v>
      </c>
      <c r="AZ84" s="2">
        <v>0</v>
      </c>
      <c r="BA84" s="2">
        <v>0</v>
      </c>
      <c r="BB84" s="2">
        <v>0</v>
      </c>
      <c r="BC84" s="2">
        <v>0</v>
      </c>
      <c r="BD84" s="2">
        <v>0</v>
      </c>
      <c r="BE84" s="2">
        <v>0</v>
      </c>
      <c r="BF84" s="2">
        <v>0</v>
      </c>
      <c r="BG84" s="2">
        <v>0</v>
      </c>
      <c r="BH84" s="2">
        <v>0</v>
      </c>
      <c r="BI84" s="2">
        <v>0</v>
      </c>
      <c r="BJ84" s="2">
        <v>0</v>
      </c>
      <c r="BK84" s="2">
        <v>0</v>
      </c>
      <c r="BL84" s="2">
        <v>0</v>
      </c>
      <c r="BM84" s="2">
        <v>0</v>
      </c>
      <c r="BN84" s="2">
        <v>0</v>
      </c>
      <c r="BO84" s="2">
        <v>0</v>
      </c>
      <c r="BP84" s="2">
        <v>0</v>
      </c>
      <c r="BQ84" s="2">
        <v>0</v>
      </c>
      <c r="BR84" s="2">
        <v>0</v>
      </c>
      <c r="BS84" s="2">
        <v>0</v>
      </c>
      <c r="BT84" s="2">
        <v>0</v>
      </c>
      <c r="BU84" s="2">
        <v>0</v>
      </c>
      <c r="BV84" s="2">
        <v>0</v>
      </c>
      <c r="BW84" s="2">
        <v>0</v>
      </c>
      <c r="BX84" s="2">
        <v>0</v>
      </c>
      <c r="BY84" s="2">
        <v>0</v>
      </c>
      <c r="BZ84" s="2">
        <v>0</v>
      </c>
      <c r="CA84" s="2">
        <v>0</v>
      </c>
      <c r="CB84" s="2">
        <v>0</v>
      </c>
      <c r="CC84" s="2">
        <v>0</v>
      </c>
      <c r="CD84" s="2">
        <v>0</v>
      </c>
      <c r="CE84" s="2">
        <v>0</v>
      </c>
      <c r="CF84" s="2">
        <v>0</v>
      </c>
      <c r="CG84" s="2">
        <v>0</v>
      </c>
      <c r="CH84" s="2">
        <v>0</v>
      </c>
      <c r="CI84" s="2">
        <v>0</v>
      </c>
      <c r="CJ84" s="2">
        <v>0</v>
      </c>
      <c r="CK84" s="2">
        <v>0</v>
      </c>
      <c r="CL84" s="2">
        <v>0</v>
      </c>
      <c r="CM84" s="2">
        <v>0</v>
      </c>
      <c r="CN84" s="2">
        <v>0</v>
      </c>
      <c r="CO84" s="2">
        <v>0</v>
      </c>
      <c r="CP84" s="2">
        <v>0</v>
      </c>
      <c r="CQ84" s="2" t="e">
        <f>$G84*1000</f>
        <v>#N/A</v>
      </c>
      <c r="CR84" s="2">
        <v>0</v>
      </c>
      <c r="CS84" s="2">
        <v>0</v>
      </c>
      <c r="CT84" s="2">
        <v>0</v>
      </c>
      <c r="CU84" s="2">
        <v>0</v>
      </c>
      <c r="CV84" s="2">
        <v>0</v>
      </c>
      <c r="CW84" s="2">
        <v>0</v>
      </c>
      <c r="CX84" s="2">
        <v>0</v>
      </c>
      <c r="CY84" s="2">
        <v>0</v>
      </c>
      <c r="CZ84" s="2">
        <v>0</v>
      </c>
      <c r="DA84" s="2">
        <v>0</v>
      </c>
      <c r="DB84" s="2">
        <v>0</v>
      </c>
      <c r="DC84" s="2">
        <v>0</v>
      </c>
      <c r="DD84" s="2">
        <v>0</v>
      </c>
      <c r="DE84" s="2">
        <v>0</v>
      </c>
      <c r="DF84" s="2">
        <v>0</v>
      </c>
    </row>
    <row r="85" spans="1:110" ht="34" x14ac:dyDescent="0.2">
      <c r="A85" s="2" t="s">
        <v>103</v>
      </c>
      <c r="B85" s="2" t="s">
        <v>89</v>
      </c>
      <c r="D85" s="2" t="s">
        <v>58</v>
      </c>
      <c r="E85" s="2" t="str">
        <f t="shared" si="18"/>
        <v>Stückholz als Energieholz Nadelholz  - CH</v>
      </c>
      <c r="F85" s="2" t="s">
        <v>89</v>
      </c>
      <c r="G85" s="52" t="e">
        <f>'Auswertung Eingaben'!$M$4</f>
        <v>#N/A</v>
      </c>
      <c r="H85" s="55" t="e">
        <f t="shared" si="20"/>
        <v>#N/A</v>
      </c>
      <c r="I85" s="36">
        <v>1</v>
      </c>
      <c r="J85" s="36">
        <v>1</v>
      </c>
      <c r="K85" s="36">
        <v>1</v>
      </c>
      <c r="L85" s="2">
        <v>0</v>
      </c>
      <c r="M85" s="2">
        <v>0</v>
      </c>
      <c r="N85" s="2">
        <f>-HLOOKUP("m3 Rundholz/m3 Produkt",$I$2:$K$103,ROW()-1,FALSE)</f>
        <v>-1</v>
      </c>
      <c r="O85" s="2">
        <v>0</v>
      </c>
      <c r="P85" s="2">
        <v>0</v>
      </c>
      <c r="Q85" s="2">
        <v>0</v>
      </c>
      <c r="R85" s="2">
        <v>0</v>
      </c>
      <c r="S85" s="2">
        <v>0</v>
      </c>
      <c r="T85" s="2">
        <v>0</v>
      </c>
      <c r="U85" s="2">
        <v>0</v>
      </c>
      <c r="V85" s="2">
        <v>0</v>
      </c>
      <c r="W85" s="2">
        <v>0</v>
      </c>
      <c r="X85" s="2">
        <v>0</v>
      </c>
      <c r="Y85" s="2">
        <v>0</v>
      </c>
      <c r="Z85" s="2">
        <v>0</v>
      </c>
      <c r="AA85" s="2">
        <v>0</v>
      </c>
      <c r="AB85" s="2">
        <v>0</v>
      </c>
      <c r="AC85" s="2">
        <v>0</v>
      </c>
      <c r="AD85" s="2">
        <v>0</v>
      </c>
      <c r="AE85" s="2">
        <v>0</v>
      </c>
      <c r="AF85" s="2">
        <v>0</v>
      </c>
      <c r="AG85" s="2">
        <v>0</v>
      </c>
      <c r="AH85" s="2">
        <v>0</v>
      </c>
      <c r="AI85" s="2">
        <v>0</v>
      </c>
      <c r="AJ85" s="2">
        <v>0</v>
      </c>
      <c r="AK85" s="2">
        <v>0</v>
      </c>
      <c r="AL85" s="2">
        <v>0</v>
      </c>
      <c r="AM85" s="2">
        <v>0</v>
      </c>
      <c r="AN85" s="37">
        <v>0</v>
      </c>
      <c r="AO85" s="2">
        <v>0</v>
      </c>
      <c r="AP85" s="2">
        <v>0</v>
      </c>
      <c r="AQ85" s="2">
        <v>0</v>
      </c>
      <c r="AR85" s="2">
        <v>0</v>
      </c>
      <c r="AS85" s="2">
        <v>0</v>
      </c>
      <c r="AT85" s="2">
        <v>0</v>
      </c>
      <c r="AU85" s="2">
        <v>0</v>
      </c>
      <c r="AV85" s="2">
        <v>0</v>
      </c>
      <c r="AW85" s="2">
        <v>0</v>
      </c>
      <c r="AX85" s="2">
        <v>0</v>
      </c>
      <c r="AY85" s="2">
        <v>0</v>
      </c>
      <c r="AZ85" s="2">
        <v>0</v>
      </c>
      <c r="BA85" s="2">
        <v>0</v>
      </c>
      <c r="BB85" s="2">
        <v>0</v>
      </c>
      <c r="BC85" s="2">
        <v>0</v>
      </c>
      <c r="BD85" s="2">
        <v>0</v>
      </c>
      <c r="BE85" s="2">
        <v>0</v>
      </c>
      <c r="BF85" s="2">
        <v>0</v>
      </c>
      <c r="BG85" s="2">
        <v>0</v>
      </c>
      <c r="BH85" s="2">
        <v>0</v>
      </c>
      <c r="BI85" s="2">
        <v>0</v>
      </c>
      <c r="BJ85" s="2">
        <v>0</v>
      </c>
      <c r="BK85" s="2">
        <v>0</v>
      </c>
      <c r="BL85" s="2">
        <v>0</v>
      </c>
      <c r="BM85" s="2">
        <v>0</v>
      </c>
      <c r="BN85" s="2">
        <v>0</v>
      </c>
      <c r="BO85" s="2">
        <v>0</v>
      </c>
      <c r="BP85" s="2">
        <v>0</v>
      </c>
      <c r="BQ85" s="2">
        <v>0</v>
      </c>
      <c r="BR85" s="2">
        <v>0</v>
      </c>
      <c r="BS85" s="2">
        <v>0</v>
      </c>
      <c r="BT85" s="2">
        <v>0</v>
      </c>
      <c r="BU85" s="2">
        <v>0</v>
      </c>
      <c r="BV85" s="2">
        <v>0</v>
      </c>
      <c r="BW85" s="2">
        <v>0</v>
      </c>
      <c r="BX85" s="2">
        <v>0</v>
      </c>
      <c r="BY85" s="2">
        <v>0</v>
      </c>
      <c r="BZ85" s="2">
        <v>0</v>
      </c>
      <c r="CA85" s="2">
        <v>0</v>
      </c>
      <c r="CB85" s="2">
        <v>0</v>
      </c>
      <c r="CC85" s="2">
        <v>0</v>
      </c>
      <c r="CD85" s="2">
        <v>0</v>
      </c>
      <c r="CE85" s="2">
        <v>0</v>
      </c>
      <c r="CF85" s="2">
        <v>0</v>
      </c>
      <c r="CG85" s="2">
        <v>0</v>
      </c>
      <c r="CH85" s="2">
        <v>0</v>
      </c>
      <c r="CI85" s="2">
        <v>0</v>
      </c>
      <c r="CJ85" s="2">
        <v>0</v>
      </c>
      <c r="CK85" s="2">
        <v>0</v>
      </c>
      <c r="CL85" s="2">
        <v>0</v>
      </c>
      <c r="CM85" s="2">
        <v>0</v>
      </c>
      <c r="CN85" s="2">
        <v>0</v>
      </c>
      <c r="CO85" s="2">
        <v>0</v>
      </c>
      <c r="CP85" s="2" t="e">
        <f>$G85*1000</f>
        <v>#N/A</v>
      </c>
      <c r="CQ85" s="2">
        <v>0</v>
      </c>
      <c r="CR85" s="2">
        <v>0</v>
      </c>
      <c r="CS85" s="2">
        <v>0</v>
      </c>
      <c r="CT85" s="2">
        <v>0</v>
      </c>
      <c r="CU85" s="2">
        <v>0</v>
      </c>
      <c r="CV85" s="2">
        <v>0</v>
      </c>
      <c r="CW85" s="2">
        <v>0</v>
      </c>
      <c r="CX85" s="2">
        <v>0</v>
      </c>
      <c r="CY85" s="2">
        <v>0</v>
      </c>
      <c r="CZ85" s="2">
        <v>0</v>
      </c>
      <c r="DA85" s="2">
        <v>0</v>
      </c>
      <c r="DB85" s="2">
        <v>0</v>
      </c>
      <c r="DC85" s="2">
        <v>0</v>
      </c>
      <c r="DD85" s="2">
        <v>0</v>
      </c>
      <c r="DE85" s="2">
        <v>0</v>
      </c>
      <c r="DF85" s="2">
        <v>0</v>
      </c>
    </row>
    <row r="86" spans="1:110" ht="47" customHeight="1" x14ac:dyDescent="0.2">
      <c r="A86" s="2" t="s">
        <v>103</v>
      </c>
      <c r="B86" s="2" t="s">
        <v>395</v>
      </c>
      <c r="D86" s="2" t="s">
        <v>58</v>
      </c>
      <c r="E86" s="2" t="str">
        <f t="shared" si="18"/>
        <v>Stückholz als Energieholz Gemischt (78% Laub- / 22% Nadelholz)  - CH</v>
      </c>
      <c r="F86" s="2" t="s">
        <v>228</v>
      </c>
      <c r="G86" s="52" t="e">
        <f>'Auswertung Eingaben'!$M$4</f>
        <v>#N/A</v>
      </c>
      <c r="H86" s="55" t="e">
        <f t="shared" si="20"/>
        <v>#N/A</v>
      </c>
      <c r="I86" s="36">
        <v>1</v>
      </c>
      <c r="J86" s="36">
        <v>1</v>
      </c>
      <c r="K86" s="36">
        <v>1</v>
      </c>
      <c r="L86" s="2">
        <f>-0.777</f>
        <v>-0.77700000000000002</v>
      </c>
      <c r="M86" s="2">
        <v>0</v>
      </c>
      <c r="N86" s="2">
        <f>-1-L86</f>
        <v>-0.22299999999999998</v>
      </c>
      <c r="O86" s="2">
        <v>0</v>
      </c>
      <c r="P86" s="2">
        <v>0</v>
      </c>
      <c r="Q86" s="2">
        <v>0</v>
      </c>
      <c r="R86" s="2">
        <v>0</v>
      </c>
      <c r="S86" s="2">
        <v>0</v>
      </c>
      <c r="T86" s="2">
        <v>0</v>
      </c>
      <c r="U86" s="2">
        <v>0</v>
      </c>
      <c r="V86" s="2">
        <v>0</v>
      </c>
      <c r="W86" s="2">
        <v>0</v>
      </c>
      <c r="X86" s="2">
        <v>0</v>
      </c>
      <c r="Y86" s="2">
        <v>0</v>
      </c>
      <c r="Z86" s="2">
        <v>0</v>
      </c>
      <c r="AA86" s="2">
        <v>0</v>
      </c>
      <c r="AB86" s="2">
        <v>0</v>
      </c>
      <c r="AC86" s="2">
        <v>0</v>
      </c>
      <c r="AD86" s="2">
        <v>0</v>
      </c>
      <c r="AE86" s="2">
        <v>0</v>
      </c>
      <c r="AF86" s="2">
        <v>0</v>
      </c>
      <c r="AG86" s="2">
        <v>0</v>
      </c>
      <c r="AH86" s="2">
        <v>0</v>
      </c>
      <c r="AI86" s="2">
        <v>0</v>
      </c>
      <c r="AJ86" s="2">
        <v>0</v>
      </c>
      <c r="AK86" s="2">
        <v>0</v>
      </c>
      <c r="AL86" s="2">
        <v>0</v>
      </c>
      <c r="AM86" s="2">
        <v>0</v>
      </c>
      <c r="AN86" s="37">
        <v>0</v>
      </c>
      <c r="AO86" s="2">
        <v>0</v>
      </c>
      <c r="AP86" s="2">
        <v>0</v>
      </c>
      <c r="AQ86" s="2">
        <v>0</v>
      </c>
      <c r="AR86" s="2">
        <v>0</v>
      </c>
      <c r="AS86" s="2">
        <v>0</v>
      </c>
      <c r="AT86" s="2">
        <v>0</v>
      </c>
      <c r="AU86" s="2">
        <v>0</v>
      </c>
      <c r="AV86" s="2">
        <v>0</v>
      </c>
      <c r="AW86" s="2">
        <v>0</v>
      </c>
      <c r="AX86" s="2">
        <v>0</v>
      </c>
      <c r="AY86" s="2">
        <v>0</v>
      </c>
      <c r="AZ86" s="2">
        <v>0</v>
      </c>
      <c r="BA86" s="2">
        <v>0</v>
      </c>
      <c r="BB86" s="2">
        <v>0</v>
      </c>
      <c r="BC86" s="2">
        <v>0</v>
      </c>
      <c r="BD86" s="2">
        <v>0</v>
      </c>
      <c r="BE86" s="2">
        <v>0</v>
      </c>
      <c r="BF86" s="2">
        <v>0</v>
      </c>
      <c r="BG86" s="2">
        <v>0</v>
      </c>
      <c r="BH86" s="2">
        <v>0</v>
      </c>
      <c r="BI86" s="2">
        <v>0</v>
      </c>
      <c r="BJ86" s="2">
        <v>0</v>
      </c>
      <c r="BK86" s="2">
        <v>0</v>
      </c>
      <c r="BL86" s="2">
        <v>0</v>
      </c>
      <c r="BM86" s="2">
        <v>0</v>
      </c>
      <c r="BN86" s="2">
        <v>0</v>
      </c>
      <c r="BO86" s="2">
        <v>0</v>
      </c>
      <c r="BP86" s="2">
        <v>0</v>
      </c>
      <c r="BQ86" s="2">
        <v>0</v>
      </c>
      <c r="BR86" s="2">
        <v>0</v>
      </c>
      <c r="BS86" s="2">
        <v>0</v>
      </c>
      <c r="BT86" s="2">
        <v>0</v>
      </c>
      <c r="BU86" s="2">
        <v>0</v>
      </c>
      <c r="BV86" s="2">
        <v>0</v>
      </c>
      <c r="BW86" s="2">
        <v>0</v>
      </c>
      <c r="BX86" s="2">
        <v>0</v>
      </c>
      <c r="BY86" s="2">
        <v>0</v>
      </c>
      <c r="BZ86" s="2">
        <v>0</v>
      </c>
      <c r="CA86" s="2">
        <v>0</v>
      </c>
      <c r="CB86" s="2">
        <v>0</v>
      </c>
      <c r="CC86" s="2">
        <v>0</v>
      </c>
      <c r="CD86" s="2">
        <v>0</v>
      </c>
      <c r="CE86" s="2">
        <v>0</v>
      </c>
      <c r="CF86" s="2">
        <v>0</v>
      </c>
      <c r="CG86" s="2">
        <v>0</v>
      </c>
      <c r="CH86" s="2">
        <v>0</v>
      </c>
      <c r="CI86" s="2">
        <v>0</v>
      </c>
      <c r="CJ86" s="2">
        <v>0</v>
      </c>
      <c r="CK86" s="2">
        <v>0</v>
      </c>
      <c r="CL86" s="2">
        <v>0</v>
      </c>
      <c r="CM86" s="2">
        <v>0</v>
      </c>
      <c r="CN86" s="2">
        <v>0</v>
      </c>
      <c r="CO86" s="2">
        <v>0</v>
      </c>
      <c r="CP86" s="2">
        <v>0</v>
      </c>
      <c r="CQ86" s="2">
        <v>0</v>
      </c>
      <c r="CR86" s="2">
        <v>0</v>
      </c>
      <c r="CS86" s="2" t="e">
        <f>$G86*1000</f>
        <v>#N/A</v>
      </c>
      <c r="CT86" s="2">
        <v>0</v>
      </c>
      <c r="CU86" s="2">
        <v>0</v>
      </c>
      <c r="CV86" s="2">
        <v>0</v>
      </c>
      <c r="CW86" s="2">
        <v>0</v>
      </c>
      <c r="CX86" s="2">
        <v>0</v>
      </c>
      <c r="CY86" s="2">
        <v>0</v>
      </c>
      <c r="CZ86" s="2">
        <v>0</v>
      </c>
      <c r="DA86" s="2">
        <v>0</v>
      </c>
      <c r="DB86" s="2">
        <v>0</v>
      </c>
      <c r="DC86" s="2">
        <v>0</v>
      </c>
      <c r="DD86" s="2">
        <v>0</v>
      </c>
      <c r="DE86" s="2">
        <v>0</v>
      </c>
      <c r="DF86" s="2">
        <v>0</v>
      </c>
    </row>
    <row r="87" spans="1:110" ht="34" x14ac:dyDescent="0.2">
      <c r="A87" s="2" t="s">
        <v>103</v>
      </c>
      <c r="B87" s="2" t="s">
        <v>88</v>
      </c>
      <c r="D87" s="2" t="s">
        <v>59</v>
      </c>
      <c r="E87" s="2" t="str">
        <f t="shared" si="18"/>
        <v>Stückholz als Energieholz Laubholz  - RER</v>
      </c>
      <c r="F87" s="2" t="s">
        <v>88</v>
      </c>
      <c r="G87" s="52" t="e">
        <f>'Auswertung Eingaben'!$M$4</f>
        <v>#N/A</v>
      </c>
      <c r="H87" s="55" t="e">
        <f t="shared" si="20"/>
        <v>#N/A</v>
      </c>
      <c r="I87" s="36">
        <v>1</v>
      </c>
      <c r="J87" s="36">
        <v>1</v>
      </c>
      <c r="K87" s="36">
        <v>1</v>
      </c>
      <c r="L87" s="2">
        <v>0</v>
      </c>
      <c r="M87" s="2">
        <f>-HLOOKUP("m3 Rundholz/m3 Produkt",$I$2:$K$103,ROW()-1,FALSE)</f>
        <v>-1</v>
      </c>
      <c r="N87" s="2">
        <v>0</v>
      </c>
      <c r="O87" s="2">
        <v>0</v>
      </c>
      <c r="P87" s="2">
        <v>0</v>
      </c>
      <c r="Q87" s="2">
        <v>0</v>
      </c>
      <c r="R87" s="2">
        <v>0</v>
      </c>
      <c r="S87" s="2">
        <v>0</v>
      </c>
      <c r="T87" s="2">
        <v>0</v>
      </c>
      <c r="U87" s="2">
        <v>0</v>
      </c>
      <c r="V87" s="2">
        <v>0</v>
      </c>
      <c r="W87" s="2">
        <v>0</v>
      </c>
      <c r="X87" s="2">
        <v>0</v>
      </c>
      <c r="Y87" s="2">
        <v>0</v>
      </c>
      <c r="Z87" s="2">
        <v>0</v>
      </c>
      <c r="AA87" s="2">
        <v>0</v>
      </c>
      <c r="AB87" s="2">
        <v>0</v>
      </c>
      <c r="AC87" s="2">
        <v>0</v>
      </c>
      <c r="AD87" s="2">
        <v>0</v>
      </c>
      <c r="AE87" s="2">
        <v>0</v>
      </c>
      <c r="AF87" s="2">
        <v>0</v>
      </c>
      <c r="AG87" s="2">
        <v>0</v>
      </c>
      <c r="AH87" s="2">
        <v>0</v>
      </c>
      <c r="AI87" s="2">
        <v>0</v>
      </c>
      <c r="AJ87" s="2">
        <v>0</v>
      </c>
      <c r="AK87" s="2">
        <v>0</v>
      </c>
      <c r="AL87" s="2">
        <v>0</v>
      </c>
      <c r="AM87" s="2">
        <v>0</v>
      </c>
      <c r="AN87" s="37">
        <v>0</v>
      </c>
      <c r="AO87" s="2">
        <v>0</v>
      </c>
      <c r="AP87" s="2">
        <v>0</v>
      </c>
      <c r="AQ87" s="2">
        <v>0</v>
      </c>
      <c r="AR87" s="2">
        <v>0</v>
      </c>
      <c r="AS87" s="2">
        <v>0</v>
      </c>
      <c r="AT87" s="2">
        <v>0</v>
      </c>
      <c r="AU87" s="2">
        <v>0</v>
      </c>
      <c r="AV87" s="2">
        <v>0</v>
      </c>
      <c r="AW87" s="2">
        <v>0</v>
      </c>
      <c r="AX87" s="2">
        <v>0</v>
      </c>
      <c r="AY87" s="2">
        <v>0</v>
      </c>
      <c r="AZ87" s="2">
        <v>0</v>
      </c>
      <c r="BA87" s="2">
        <v>0</v>
      </c>
      <c r="BB87" s="2">
        <v>0</v>
      </c>
      <c r="BC87" s="2">
        <v>0</v>
      </c>
      <c r="BD87" s="2">
        <v>0</v>
      </c>
      <c r="BE87" s="2">
        <v>0</v>
      </c>
      <c r="BF87" s="2">
        <v>0</v>
      </c>
      <c r="BG87" s="2">
        <v>0</v>
      </c>
      <c r="BH87" s="2">
        <v>0</v>
      </c>
      <c r="BI87" s="2">
        <v>0</v>
      </c>
      <c r="BJ87" s="2">
        <v>0</v>
      </c>
      <c r="BK87" s="2">
        <v>0</v>
      </c>
      <c r="BL87" s="2">
        <v>0</v>
      </c>
      <c r="BM87" s="2">
        <v>0</v>
      </c>
      <c r="BN87" s="2">
        <v>0</v>
      </c>
      <c r="BO87" s="2">
        <v>0</v>
      </c>
      <c r="BP87" s="2">
        <v>0</v>
      </c>
      <c r="BQ87" s="2">
        <v>0</v>
      </c>
      <c r="BR87" s="2">
        <v>0</v>
      </c>
      <c r="BS87" s="2">
        <v>0</v>
      </c>
      <c r="BT87" s="2">
        <v>0</v>
      </c>
      <c r="BU87" s="2">
        <v>0</v>
      </c>
      <c r="BV87" s="2">
        <v>0</v>
      </c>
      <c r="BW87" s="2">
        <v>0</v>
      </c>
      <c r="BX87" s="2">
        <v>0</v>
      </c>
      <c r="BY87" s="2">
        <v>0</v>
      </c>
      <c r="BZ87" s="2">
        <v>0</v>
      </c>
      <c r="CA87" s="2">
        <v>0</v>
      </c>
      <c r="CB87" s="2">
        <v>0</v>
      </c>
      <c r="CC87" s="2">
        <v>0</v>
      </c>
      <c r="CD87" s="2">
        <v>0</v>
      </c>
      <c r="CE87" s="2">
        <v>0</v>
      </c>
      <c r="CF87" s="2">
        <v>0</v>
      </c>
      <c r="CG87" s="2">
        <v>0</v>
      </c>
      <c r="CH87" s="2">
        <v>0</v>
      </c>
      <c r="CI87" s="2">
        <v>0</v>
      </c>
      <c r="CJ87" s="2">
        <v>0</v>
      </c>
      <c r="CK87" s="2">
        <v>0</v>
      </c>
      <c r="CL87" s="2">
        <v>0</v>
      </c>
      <c r="CM87" s="2">
        <v>0</v>
      </c>
      <c r="CN87" s="2">
        <v>0</v>
      </c>
      <c r="CO87" s="2">
        <v>0</v>
      </c>
      <c r="CP87" s="2">
        <v>0</v>
      </c>
      <c r="CQ87" s="2" t="e">
        <f>$G87*1000</f>
        <v>#N/A</v>
      </c>
      <c r="CR87" s="2">
        <v>0</v>
      </c>
      <c r="CS87" s="2">
        <v>0</v>
      </c>
      <c r="CT87" s="2">
        <v>0</v>
      </c>
      <c r="CU87" s="2">
        <v>0</v>
      </c>
      <c r="CV87" s="2">
        <v>0</v>
      </c>
      <c r="CW87" s="2">
        <v>0</v>
      </c>
      <c r="CX87" s="2">
        <v>0</v>
      </c>
      <c r="CY87" s="2">
        <v>0</v>
      </c>
      <c r="CZ87" s="2">
        <v>0</v>
      </c>
      <c r="DA87" s="2">
        <v>0</v>
      </c>
      <c r="DB87" s="2">
        <v>0</v>
      </c>
      <c r="DC87" s="2">
        <v>0</v>
      </c>
      <c r="DD87" s="2">
        <v>0</v>
      </c>
      <c r="DE87" s="2">
        <v>0</v>
      </c>
      <c r="DF87" s="2">
        <v>0</v>
      </c>
    </row>
    <row r="88" spans="1:110" ht="34" x14ac:dyDescent="0.2">
      <c r="A88" s="2" t="s">
        <v>103</v>
      </c>
      <c r="B88" s="2" t="s">
        <v>89</v>
      </c>
      <c r="D88" s="2" t="s">
        <v>59</v>
      </c>
      <c r="E88" s="2" t="str">
        <f t="shared" si="18"/>
        <v>Stückholz als Energieholz Nadelholz  - RER</v>
      </c>
      <c r="F88" s="2" t="s">
        <v>89</v>
      </c>
      <c r="G88" s="52" t="e">
        <f>'Auswertung Eingaben'!$M$4</f>
        <v>#N/A</v>
      </c>
      <c r="H88" s="55" t="e">
        <f t="shared" si="20"/>
        <v>#N/A</v>
      </c>
      <c r="I88" s="36">
        <v>1</v>
      </c>
      <c r="J88" s="36">
        <v>1</v>
      </c>
      <c r="K88" s="36">
        <v>1</v>
      </c>
      <c r="L88" s="2">
        <v>0</v>
      </c>
      <c r="M88" s="2">
        <v>0</v>
      </c>
      <c r="N88" s="2">
        <v>0</v>
      </c>
      <c r="O88" s="2">
        <f>-HLOOKUP("m3 Rundholz/m3 Produkt",$I$2:$K$103,ROW()-1,FALSE)</f>
        <v>-1</v>
      </c>
      <c r="P88" s="2">
        <v>0</v>
      </c>
      <c r="Q88" s="2">
        <v>0</v>
      </c>
      <c r="R88" s="2">
        <v>0</v>
      </c>
      <c r="S88" s="2">
        <v>0</v>
      </c>
      <c r="T88" s="2">
        <v>0</v>
      </c>
      <c r="U88" s="2">
        <v>0</v>
      </c>
      <c r="V88" s="2">
        <v>0</v>
      </c>
      <c r="W88" s="2">
        <v>0</v>
      </c>
      <c r="X88" s="2">
        <v>0</v>
      </c>
      <c r="Y88" s="2">
        <v>0</v>
      </c>
      <c r="Z88" s="2">
        <v>0</v>
      </c>
      <c r="AA88" s="2">
        <v>0</v>
      </c>
      <c r="AB88" s="2">
        <v>0</v>
      </c>
      <c r="AC88" s="2">
        <v>0</v>
      </c>
      <c r="AD88" s="2">
        <v>0</v>
      </c>
      <c r="AE88" s="2">
        <v>0</v>
      </c>
      <c r="AF88" s="2">
        <v>0</v>
      </c>
      <c r="AG88" s="2">
        <v>0</v>
      </c>
      <c r="AH88" s="2">
        <v>0</v>
      </c>
      <c r="AI88" s="2">
        <v>0</v>
      </c>
      <c r="AJ88" s="2">
        <v>0</v>
      </c>
      <c r="AK88" s="2">
        <v>0</v>
      </c>
      <c r="AL88" s="2">
        <v>0</v>
      </c>
      <c r="AM88" s="2">
        <v>0</v>
      </c>
      <c r="AN88" s="37">
        <v>0</v>
      </c>
      <c r="AO88" s="2">
        <v>0</v>
      </c>
      <c r="AP88" s="2">
        <v>0</v>
      </c>
      <c r="AQ88" s="2">
        <v>0</v>
      </c>
      <c r="AR88" s="2">
        <v>0</v>
      </c>
      <c r="AS88" s="2">
        <v>0</v>
      </c>
      <c r="AT88" s="2">
        <v>0</v>
      </c>
      <c r="AU88" s="2">
        <v>0</v>
      </c>
      <c r="AV88" s="2">
        <v>0</v>
      </c>
      <c r="AW88" s="2">
        <v>0</v>
      </c>
      <c r="AX88" s="2">
        <v>0</v>
      </c>
      <c r="AY88" s="2">
        <v>0</v>
      </c>
      <c r="AZ88" s="2">
        <v>0</v>
      </c>
      <c r="BA88" s="2">
        <v>0</v>
      </c>
      <c r="BB88" s="2">
        <v>0</v>
      </c>
      <c r="BC88" s="2">
        <v>0</v>
      </c>
      <c r="BD88" s="2">
        <v>0</v>
      </c>
      <c r="BE88" s="2">
        <v>0</v>
      </c>
      <c r="BF88" s="2">
        <v>0</v>
      </c>
      <c r="BG88" s="2">
        <v>0</v>
      </c>
      <c r="BH88" s="2">
        <v>0</v>
      </c>
      <c r="BI88" s="2">
        <v>0</v>
      </c>
      <c r="BJ88" s="2">
        <v>0</v>
      </c>
      <c r="BK88" s="2">
        <v>0</v>
      </c>
      <c r="BL88" s="2">
        <v>0</v>
      </c>
      <c r="BM88" s="2">
        <v>0</v>
      </c>
      <c r="BN88" s="2">
        <v>0</v>
      </c>
      <c r="BO88" s="2">
        <v>0</v>
      </c>
      <c r="BP88" s="2">
        <v>0</v>
      </c>
      <c r="BQ88" s="2">
        <v>0</v>
      </c>
      <c r="BR88" s="2">
        <v>0</v>
      </c>
      <c r="BS88" s="2">
        <v>0</v>
      </c>
      <c r="BT88" s="2">
        <v>0</v>
      </c>
      <c r="BU88" s="2">
        <v>0</v>
      </c>
      <c r="BV88" s="2">
        <v>0</v>
      </c>
      <c r="BW88" s="2">
        <v>0</v>
      </c>
      <c r="BX88" s="2">
        <v>0</v>
      </c>
      <c r="BY88" s="2">
        <v>0</v>
      </c>
      <c r="BZ88" s="2">
        <v>0</v>
      </c>
      <c r="CA88" s="2">
        <v>0</v>
      </c>
      <c r="CB88" s="2">
        <v>0</v>
      </c>
      <c r="CC88" s="2">
        <v>0</v>
      </c>
      <c r="CD88" s="2">
        <v>0</v>
      </c>
      <c r="CE88" s="2">
        <v>0</v>
      </c>
      <c r="CF88" s="2">
        <v>0</v>
      </c>
      <c r="CG88" s="2">
        <v>0</v>
      </c>
      <c r="CH88" s="2">
        <v>0</v>
      </c>
      <c r="CI88" s="2">
        <v>0</v>
      </c>
      <c r="CJ88" s="2">
        <v>0</v>
      </c>
      <c r="CK88" s="2">
        <v>0</v>
      </c>
      <c r="CL88" s="2">
        <v>0</v>
      </c>
      <c r="CM88" s="2">
        <v>0</v>
      </c>
      <c r="CN88" s="2">
        <v>0</v>
      </c>
      <c r="CO88" s="2">
        <v>0</v>
      </c>
      <c r="CP88" s="2" t="e">
        <f>$G88*1000</f>
        <v>#N/A</v>
      </c>
      <c r="CQ88" s="2">
        <v>0</v>
      </c>
      <c r="CR88" s="2">
        <v>0</v>
      </c>
      <c r="CS88" s="2">
        <v>0</v>
      </c>
      <c r="CT88" s="2">
        <v>0</v>
      </c>
      <c r="CU88" s="2">
        <v>0</v>
      </c>
      <c r="CV88" s="2">
        <v>0</v>
      </c>
      <c r="CW88" s="2">
        <v>0</v>
      </c>
      <c r="CX88" s="2">
        <v>0</v>
      </c>
      <c r="CY88" s="2">
        <v>0</v>
      </c>
      <c r="CZ88" s="2">
        <v>0</v>
      </c>
      <c r="DA88" s="2">
        <v>0</v>
      </c>
      <c r="DB88" s="2">
        <v>0</v>
      </c>
      <c r="DC88" s="2">
        <v>0</v>
      </c>
      <c r="DD88" s="2">
        <v>0</v>
      </c>
      <c r="DE88" s="2">
        <v>0</v>
      </c>
      <c r="DF88" s="2">
        <v>0</v>
      </c>
    </row>
    <row r="89" spans="1:110" ht="51" x14ac:dyDescent="0.2">
      <c r="A89" s="2" t="s">
        <v>103</v>
      </c>
      <c r="B89" s="2" t="s">
        <v>395</v>
      </c>
      <c r="D89" s="2" t="s">
        <v>59</v>
      </c>
      <c r="E89" s="2" t="str">
        <f t="shared" si="18"/>
        <v>Stückholz als Energieholz Gemischt (78% Laub- / 22% Nadelholz)  - RER</v>
      </c>
      <c r="F89" s="2" t="s">
        <v>228</v>
      </c>
      <c r="G89" s="52" t="e">
        <f>'Auswertung Eingaben'!$M$4</f>
        <v>#N/A</v>
      </c>
      <c r="H89" s="55" t="e">
        <f t="shared" si="20"/>
        <v>#N/A</v>
      </c>
      <c r="I89" s="36">
        <v>1</v>
      </c>
      <c r="J89" s="36">
        <v>1</v>
      </c>
      <c r="K89" s="36">
        <v>1</v>
      </c>
      <c r="L89" s="2">
        <v>-0.6361</v>
      </c>
      <c r="M89" s="2">
        <v>0</v>
      </c>
      <c r="N89" s="2">
        <f>-1-L89</f>
        <v>-0.3639</v>
      </c>
      <c r="O89" s="2">
        <v>0</v>
      </c>
      <c r="P89" s="2">
        <v>0</v>
      </c>
      <c r="Q89" s="2">
        <v>0</v>
      </c>
      <c r="R89" s="2">
        <v>0</v>
      </c>
      <c r="S89" s="2">
        <v>0</v>
      </c>
      <c r="T89" s="2">
        <v>0</v>
      </c>
      <c r="U89" s="2">
        <v>0</v>
      </c>
      <c r="V89" s="2">
        <v>0</v>
      </c>
      <c r="W89" s="2">
        <v>0</v>
      </c>
      <c r="X89" s="2">
        <v>0</v>
      </c>
      <c r="Y89" s="2">
        <v>0</v>
      </c>
      <c r="Z89" s="2">
        <v>0</v>
      </c>
      <c r="AA89" s="2">
        <v>0</v>
      </c>
      <c r="AB89" s="2">
        <v>0</v>
      </c>
      <c r="AC89" s="2">
        <v>0</v>
      </c>
      <c r="AD89" s="2">
        <v>0</v>
      </c>
      <c r="AE89" s="2">
        <v>0</v>
      </c>
      <c r="AF89" s="2">
        <v>0</v>
      </c>
      <c r="AG89" s="2">
        <v>0</v>
      </c>
      <c r="AH89" s="2">
        <v>0</v>
      </c>
      <c r="AI89" s="2">
        <v>0</v>
      </c>
      <c r="AJ89" s="2">
        <v>0</v>
      </c>
      <c r="AK89" s="2">
        <v>0</v>
      </c>
      <c r="AL89" s="2">
        <v>0</v>
      </c>
      <c r="AM89" s="2">
        <v>0</v>
      </c>
      <c r="AN89" s="37">
        <v>0</v>
      </c>
      <c r="AO89" s="2">
        <v>0</v>
      </c>
      <c r="AP89" s="2">
        <v>0</v>
      </c>
      <c r="AQ89" s="2">
        <v>0</v>
      </c>
      <c r="AR89" s="2">
        <v>0</v>
      </c>
      <c r="AS89" s="2">
        <v>0</v>
      </c>
      <c r="AT89" s="2">
        <v>0</v>
      </c>
      <c r="AU89" s="2">
        <v>0</v>
      </c>
      <c r="AV89" s="2">
        <v>0</v>
      </c>
      <c r="AW89" s="2">
        <v>0</v>
      </c>
      <c r="AX89" s="2">
        <v>0</v>
      </c>
      <c r="AY89" s="2">
        <v>0</v>
      </c>
      <c r="AZ89" s="2">
        <v>0</v>
      </c>
      <c r="BA89" s="2">
        <v>0</v>
      </c>
      <c r="BB89" s="2">
        <v>0</v>
      </c>
      <c r="BC89" s="2">
        <v>0</v>
      </c>
      <c r="BD89" s="2">
        <v>0</v>
      </c>
      <c r="BE89" s="2">
        <v>0</v>
      </c>
      <c r="BF89" s="2">
        <v>0</v>
      </c>
      <c r="BG89" s="2">
        <v>0</v>
      </c>
      <c r="BH89" s="2">
        <v>0</v>
      </c>
      <c r="BI89" s="2">
        <v>0</v>
      </c>
      <c r="BJ89" s="2">
        <v>0</v>
      </c>
      <c r="BK89" s="2">
        <v>0</v>
      </c>
      <c r="BL89" s="2">
        <v>0</v>
      </c>
      <c r="BM89" s="2">
        <v>0</v>
      </c>
      <c r="BN89" s="2">
        <v>0</v>
      </c>
      <c r="BO89" s="2">
        <v>0</v>
      </c>
      <c r="BP89" s="2">
        <v>0</v>
      </c>
      <c r="BQ89" s="2">
        <v>0</v>
      </c>
      <c r="BR89" s="2">
        <v>0</v>
      </c>
      <c r="BS89" s="2">
        <v>0</v>
      </c>
      <c r="BT89" s="2">
        <v>0</v>
      </c>
      <c r="BU89" s="2">
        <v>0</v>
      </c>
      <c r="BV89" s="2">
        <v>0</v>
      </c>
      <c r="BW89" s="2">
        <v>0</v>
      </c>
      <c r="BX89" s="2">
        <v>0</v>
      </c>
      <c r="BY89" s="2">
        <v>0</v>
      </c>
      <c r="BZ89" s="2">
        <v>0</v>
      </c>
      <c r="CA89" s="2">
        <v>0</v>
      </c>
      <c r="CB89" s="2">
        <v>0</v>
      </c>
      <c r="CC89" s="2">
        <v>0</v>
      </c>
      <c r="CD89" s="2">
        <v>0</v>
      </c>
      <c r="CE89" s="2">
        <v>0</v>
      </c>
      <c r="CF89" s="2">
        <v>0</v>
      </c>
      <c r="CG89" s="2">
        <v>0</v>
      </c>
      <c r="CH89" s="2">
        <v>0</v>
      </c>
      <c r="CI89" s="2">
        <v>0</v>
      </c>
      <c r="CJ89" s="2">
        <v>0</v>
      </c>
      <c r="CK89" s="2">
        <v>0</v>
      </c>
      <c r="CL89" s="2">
        <v>0</v>
      </c>
      <c r="CM89" s="2">
        <v>0</v>
      </c>
      <c r="CN89" s="2">
        <v>0</v>
      </c>
      <c r="CO89" s="2">
        <v>0</v>
      </c>
      <c r="CP89" s="2">
        <v>0</v>
      </c>
      <c r="CQ89" s="2">
        <v>0</v>
      </c>
      <c r="CR89" s="2" t="e">
        <f>$G89*1000</f>
        <v>#N/A</v>
      </c>
      <c r="CS89" s="2">
        <v>0</v>
      </c>
      <c r="CT89" s="2">
        <v>0</v>
      </c>
      <c r="CU89" s="2">
        <v>0</v>
      </c>
      <c r="CV89" s="2">
        <v>0</v>
      </c>
      <c r="CW89" s="2">
        <v>0</v>
      </c>
      <c r="CX89" s="2">
        <v>0</v>
      </c>
      <c r="CY89" s="2">
        <v>0</v>
      </c>
      <c r="CZ89" s="2">
        <v>0</v>
      </c>
      <c r="DA89" s="2">
        <v>0</v>
      </c>
      <c r="DB89" s="2">
        <v>0</v>
      </c>
      <c r="DC89" s="2">
        <v>0</v>
      </c>
      <c r="DD89" s="2">
        <v>0</v>
      </c>
      <c r="DE89" s="2">
        <v>0</v>
      </c>
      <c r="DF89" s="2">
        <v>0</v>
      </c>
    </row>
    <row r="90" spans="1:110" ht="34" x14ac:dyDescent="0.2">
      <c r="A90" s="2" t="s">
        <v>102</v>
      </c>
      <c r="B90" s="2" t="s">
        <v>79</v>
      </c>
      <c r="D90" s="2" t="s">
        <v>58</v>
      </c>
      <c r="E90" s="2" t="str">
        <f t="shared" si="18"/>
        <v>Holzschnitzel Laubholz ab Wald  - CH</v>
      </c>
      <c r="F90" s="2" t="s">
        <v>88</v>
      </c>
      <c r="G90" s="52" t="e">
        <f>'Auswertung Eingaben'!$M$4</f>
        <v>#N/A</v>
      </c>
      <c r="H90" s="52" t="s">
        <v>220</v>
      </c>
      <c r="I90" s="36">
        <v>1</v>
      </c>
      <c r="J90" s="36">
        <v>1</v>
      </c>
      <c r="K90" s="36">
        <v>1</v>
      </c>
      <c r="L90" s="2">
        <f>-HLOOKUP("m3 Rundholz/m3 Produkt",$I$2:$K$103,ROW()-1,FALSE)</f>
        <v>-1</v>
      </c>
      <c r="M90" s="2">
        <v>0</v>
      </c>
      <c r="N90" s="2">
        <v>0</v>
      </c>
      <c r="O90" s="2">
        <v>0</v>
      </c>
      <c r="P90" s="2">
        <v>0</v>
      </c>
      <c r="Q90" s="2">
        <v>0</v>
      </c>
      <c r="R90" s="2">
        <v>0</v>
      </c>
      <c r="S90" s="2">
        <v>0</v>
      </c>
      <c r="T90" s="2">
        <v>0</v>
      </c>
      <c r="U90" s="2">
        <v>0</v>
      </c>
      <c r="V90" s="2">
        <v>0</v>
      </c>
      <c r="W90" s="2">
        <v>0</v>
      </c>
      <c r="X90" s="2">
        <v>0</v>
      </c>
      <c r="Y90" s="2">
        <v>0</v>
      </c>
      <c r="Z90" s="2">
        <v>0</v>
      </c>
      <c r="AA90" s="2">
        <v>0</v>
      </c>
      <c r="AB90" s="2">
        <v>0</v>
      </c>
      <c r="AC90" s="2">
        <v>0</v>
      </c>
      <c r="AD90" s="2">
        <v>0</v>
      </c>
      <c r="AE90" s="2">
        <v>0</v>
      </c>
      <c r="AF90" s="2">
        <v>0</v>
      </c>
      <c r="AG90" s="2">
        <v>0</v>
      </c>
      <c r="AH90" s="2">
        <v>0</v>
      </c>
      <c r="AI90" s="2">
        <v>0</v>
      </c>
      <c r="AJ90" s="2">
        <v>0</v>
      </c>
      <c r="AK90" s="2">
        <v>0</v>
      </c>
      <c r="AL90" s="2">
        <v>0</v>
      </c>
      <c r="AM90" s="2">
        <v>0</v>
      </c>
      <c r="AN90" s="37">
        <v>0</v>
      </c>
      <c r="AO90" s="2">
        <v>0</v>
      </c>
      <c r="AP90" s="2">
        <v>0</v>
      </c>
      <c r="AQ90" s="2">
        <v>0</v>
      </c>
      <c r="AR90" s="2">
        <v>0</v>
      </c>
      <c r="AS90" s="2">
        <v>0</v>
      </c>
      <c r="AT90" s="2">
        <v>0</v>
      </c>
      <c r="AU90" s="2">
        <v>0</v>
      </c>
      <c r="AV90" s="2">
        <v>0</v>
      </c>
      <c r="AW90" s="2">
        <v>0</v>
      </c>
      <c r="AX90" s="2">
        <v>0</v>
      </c>
      <c r="AY90" s="2">
        <v>0</v>
      </c>
      <c r="AZ90" s="2">
        <v>0</v>
      </c>
      <c r="BA90" s="2">
        <v>0</v>
      </c>
      <c r="BB90" s="2">
        <v>0</v>
      </c>
      <c r="BC90" s="2">
        <v>0</v>
      </c>
      <c r="BD90" s="2">
        <v>0</v>
      </c>
      <c r="BE90" s="2">
        <v>0</v>
      </c>
      <c r="BF90" s="2">
        <v>0</v>
      </c>
      <c r="BG90" s="2">
        <v>0</v>
      </c>
      <c r="BH90" s="2">
        <v>0</v>
      </c>
      <c r="BI90" s="2">
        <v>0</v>
      </c>
      <c r="BJ90" s="2">
        <v>0</v>
      </c>
      <c r="BK90" s="2">
        <v>0</v>
      </c>
      <c r="BL90" s="2">
        <v>0</v>
      </c>
      <c r="BM90" s="2">
        <v>0</v>
      </c>
      <c r="BN90" s="2">
        <v>0</v>
      </c>
      <c r="BO90" s="2">
        <v>0</v>
      </c>
      <c r="BP90" s="2">
        <v>0</v>
      </c>
      <c r="BQ90" s="2">
        <v>0</v>
      </c>
      <c r="BR90" s="2">
        <v>0</v>
      </c>
      <c r="BS90" s="2">
        <v>0</v>
      </c>
      <c r="BT90" s="2">
        <v>0</v>
      </c>
      <c r="BU90" s="2">
        <v>0</v>
      </c>
      <c r="BV90" s="2">
        <v>0</v>
      </c>
      <c r="BW90" s="2">
        <v>0</v>
      </c>
      <c r="BX90" s="2">
        <v>0</v>
      </c>
      <c r="BY90" s="2">
        <v>0</v>
      </c>
      <c r="BZ90" s="2">
        <v>0</v>
      </c>
      <c r="CA90" s="2">
        <v>0</v>
      </c>
      <c r="CB90" s="2">
        <v>0</v>
      </c>
      <c r="CC90" s="2">
        <v>0</v>
      </c>
      <c r="CD90" s="2">
        <v>0</v>
      </c>
      <c r="CE90" s="2">
        <v>0</v>
      </c>
      <c r="CF90" s="2">
        <v>0</v>
      </c>
      <c r="CG90" s="2">
        <v>0</v>
      </c>
      <c r="CH90" s="2">
        <v>0</v>
      </c>
      <c r="CI90" s="2">
        <v>0</v>
      </c>
      <c r="CJ90" s="2">
        <v>0</v>
      </c>
      <c r="CK90" s="2">
        <v>0</v>
      </c>
      <c r="CL90" s="2">
        <v>0</v>
      </c>
      <c r="CM90" s="2">
        <v>0</v>
      </c>
      <c r="CN90" s="2">
        <v>0</v>
      </c>
      <c r="CO90" s="2">
        <v>0</v>
      </c>
      <c r="CP90" s="2">
        <v>0</v>
      </c>
      <c r="CQ90" s="2">
        <v>0</v>
      </c>
      <c r="CR90" s="2">
        <v>0</v>
      </c>
      <c r="CS90" s="2">
        <v>0</v>
      </c>
      <c r="CT90" s="2">
        <v>0</v>
      </c>
      <c r="CU90" s="2" t="e">
        <f>1000*'Auswertung Eingaben'!$O$4</f>
        <v>#N/A</v>
      </c>
      <c r="CV90" s="2">
        <v>0</v>
      </c>
      <c r="CW90" s="2">
        <v>0</v>
      </c>
      <c r="CX90" s="2">
        <v>0</v>
      </c>
      <c r="CY90" s="2">
        <v>0</v>
      </c>
      <c r="CZ90" s="2">
        <v>0</v>
      </c>
      <c r="DA90" s="2">
        <v>0</v>
      </c>
      <c r="DB90" s="2">
        <v>0</v>
      </c>
      <c r="DC90" s="2">
        <v>0</v>
      </c>
      <c r="DD90" s="2">
        <v>0</v>
      </c>
      <c r="DE90" s="2">
        <v>0</v>
      </c>
      <c r="DF90" s="2">
        <v>0</v>
      </c>
    </row>
    <row r="91" spans="1:110" ht="34" x14ac:dyDescent="0.2">
      <c r="A91" s="2" t="s">
        <v>102</v>
      </c>
      <c r="B91" s="2" t="s">
        <v>81</v>
      </c>
      <c r="D91" s="2" t="s">
        <v>58</v>
      </c>
      <c r="E91" s="2" t="str">
        <f t="shared" si="18"/>
        <v>Holzschnitzel Laubholz ab Sägewerk  - CH</v>
      </c>
      <c r="F91" s="2" t="s">
        <v>88</v>
      </c>
      <c r="G91" s="52" t="e">
        <f>'Auswertung Eingaben'!$M$4</f>
        <v>#N/A</v>
      </c>
      <c r="H91" s="52" t="s">
        <v>222</v>
      </c>
      <c r="I91" s="36">
        <v>1</v>
      </c>
      <c r="J91" s="36">
        <v>1</v>
      </c>
      <c r="K91" s="36">
        <v>1</v>
      </c>
      <c r="L91" s="2">
        <f>-HLOOKUP("m3 Rundholz/m3 Produkt",$I$2:$K$103,ROW()-1,FALSE)</f>
        <v>-1</v>
      </c>
      <c r="M91" s="2">
        <v>0</v>
      </c>
      <c r="N91" s="2">
        <v>0</v>
      </c>
      <c r="O91" s="2">
        <v>0</v>
      </c>
      <c r="P91" s="2">
        <v>0</v>
      </c>
      <c r="Q91" s="2">
        <v>0</v>
      </c>
      <c r="R91" s="2">
        <v>0</v>
      </c>
      <c r="S91" s="2">
        <v>0</v>
      </c>
      <c r="T91" s="2">
        <v>0</v>
      </c>
      <c r="U91" s="2">
        <v>0</v>
      </c>
      <c r="V91" s="2">
        <v>0</v>
      </c>
      <c r="W91" s="2">
        <v>0</v>
      </c>
      <c r="X91" s="2">
        <v>0</v>
      </c>
      <c r="Y91" s="2">
        <v>0</v>
      </c>
      <c r="Z91" s="2">
        <v>0</v>
      </c>
      <c r="AA91" s="2">
        <v>0</v>
      </c>
      <c r="AB91" s="2">
        <v>0</v>
      </c>
      <c r="AC91" s="2">
        <v>0</v>
      </c>
      <c r="AD91" s="2">
        <v>0</v>
      </c>
      <c r="AE91" s="2">
        <v>0</v>
      </c>
      <c r="AF91" s="2">
        <v>0</v>
      </c>
      <c r="AG91" s="2">
        <v>0</v>
      </c>
      <c r="AH91" s="2">
        <v>0</v>
      </c>
      <c r="AI91" s="2">
        <v>0</v>
      </c>
      <c r="AJ91" s="2">
        <v>0</v>
      </c>
      <c r="AK91" s="2">
        <v>0</v>
      </c>
      <c r="AL91" s="2">
        <v>0</v>
      </c>
      <c r="AM91" s="2">
        <v>0</v>
      </c>
      <c r="AN91" s="37">
        <v>0</v>
      </c>
      <c r="AO91" s="2">
        <v>0</v>
      </c>
      <c r="AP91" s="2">
        <v>0</v>
      </c>
      <c r="AQ91" s="2">
        <v>0</v>
      </c>
      <c r="AR91" s="2">
        <v>0</v>
      </c>
      <c r="AS91" s="2">
        <v>0</v>
      </c>
      <c r="AT91" s="2">
        <v>0</v>
      </c>
      <c r="AU91" s="2">
        <v>0</v>
      </c>
      <c r="AV91" s="2">
        <v>0</v>
      </c>
      <c r="AW91" s="2">
        <v>0</v>
      </c>
      <c r="AX91" s="2">
        <v>0</v>
      </c>
      <c r="AY91" s="2">
        <v>0</v>
      </c>
      <c r="AZ91" s="2">
        <v>0</v>
      </c>
      <c r="BA91" s="2">
        <v>0</v>
      </c>
      <c r="BB91" s="2">
        <v>0</v>
      </c>
      <c r="BC91" s="2">
        <v>0</v>
      </c>
      <c r="BD91" s="2">
        <v>0</v>
      </c>
      <c r="BE91" s="2">
        <v>0</v>
      </c>
      <c r="BF91" s="2">
        <v>0</v>
      </c>
      <c r="BG91" s="2">
        <v>0</v>
      </c>
      <c r="BH91" s="2">
        <v>0</v>
      </c>
      <c r="BI91" s="2">
        <v>0</v>
      </c>
      <c r="BJ91" s="2">
        <v>0</v>
      </c>
      <c r="BK91" s="2">
        <v>0</v>
      </c>
      <c r="BL91" s="2">
        <v>0</v>
      </c>
      <c r="BM91" s="2">
        <v>0</v>
      </c>
      <c r="BN91" s="2">
        <v>0</v>
      </c>
      <c r="BO91" s="2">
        <v>0</v>
      </c>
      <c r="BP91" s="2">
        <v>0</v>
      </c>
      <c r="BQ91" s="2">
        <v>0</v>
      </c>
      <c r="BR91" s="2">
        <v>0</v>
      </c>
      <c r="BS91" s="2">
        <v>0</v>
      </c>
      <c r="BT91" s="2">
        <v>0</v>
      </c>
      <c r="BU91" s="2">
        <v>0</v>
      </c>
      <c r="BV91" s="2">
        <v>0</v>
      </c>
      <c r="BW91" s="2">
        <v>0</v>
      </c>
      <c r="BX91" s="2">
        <v>0</v>
      </c>
      <c r="BY91" s="2">
        <v>0</v>
      </c>
      <c r="BZ91" s="2">
        <v>0</v>
      </c>
      <c r="CA91" s="2">
        <v>0</v>
      </c>
      <c r="CB91" s="2">
        <v>0</v>
      </c>
      <c r="CC91" s="2">
        <v>0</v>
      </c>
      <c r="CD91" s="2">
        <v>0</v>
      </c>
      <c r="CE91" s="2">
        <v>0</v>
      </c>
      <c r="CF91" s="2">
        <v>0</v>
      </c>
      <c r="CG91" s="2">
        <v>0</v>
      </c>
      <c r="CH91" s="2">
        <v>0</v>
      </c>
      <c r="CI91" s="2">
        <v>0</v>
      </c>
      <c r="CJ91" s="2">
        <v>0</v>
      </c>
      <c r="CK91" s="2">
        <v>0</v>
      </c>
      <c r="CL91" s="2">
        <v>0</v>
      </c>
      <c r="CM91" s="2">
        <v>0</v>
      </c>
      <c r="CN91" s="2">
        <v>0</v>
      </c>
      <c r="CO91" s="2">
        <v>0</v>
      </c>
      <c r="CP91" s="2">
        <v>0</v>
      </c>
      <c r="CQ91" s="2">
        <v>0</v>
      </c>
      <c r="CR91" s="2">
        <v>0</v>
      </c>
      <c r="CS91" s="2">
        <v>0</v>
      </c>
      <c r="CT91" s="2">
        <v>0</v>
      </c>
      <c r="CU91" s="2">
        <v>0</v>
      </c>
      <c r="CV91" s="2">
        <v>0</v>
      </c>
      <c r="CW91" s="2" t="e">
        <f>1000*'Auswertung Eingaben'!$O$4</f>
        <v>#N/A</v>
      </c>
      <c r="CX91" s="2">
        <v>0</v>
      </c>
      <c r="CY91" s="2">
        <v>0</v>
      </c>
      <c r="CZ91" s="2">
        <v>0</v>
      </c>
      <c r="DA91" s="2">
        <v>0</v>
      </c>
      <c r="DB91" s="2">
        <v>0</v>
      </c>
      <c r="DC91" s="2">
        <v>0</v>
      </c>
      <c r="DD91" s="2">
        <v>0</v>
      </c>
      <c r="DE91" s="2">
        <v>0</v>
      </c>
      <c r="DF91" s="2">
        <v>0</v>
      </c>
    </row>
    <row r="92" spans="1:110" ht="34" x14ac:dyDescent="0.2">
      <c r="A92" s="2" t="s">
        <v>102</v>
      </c>
      <c r="B92" s="2" t="s">
        <v>80</v>
      </c>
      <c r="D92" s="2" t="s">
        <v>58</v>
      </c>
      <c r="E92" s="2" t="str">
        <f t="shared" si="18"/>
        <v>Holzschnitzel Nadelholz ab Wald  - CH</v>
      </c>
      <c r="F92" s="2" t="s">
        <v>89</v>
      </c>
      <c r="G92" s="52" t="e">
        <f>'Auswertung Eingaben'!$M$4</f>
        <v>#N/A</v>
      </c>
      <c r="H92" s="52" t="s">
        <v>225</v>
      </c>
      <c r="I92" s="36">
        <v>1</v>
      </c>
      <c r="J92" s="36">
        <v>1</v>
      </c>
      <c r="K92" s="36">
        <v>1</v>
      </c>
      <c r="L92" s="2">
        <v>0</v>
      </c>
      <c r="M92" s="2">
        <v>0</v>
      </c>
      <c r="N92" s="2">
        <f>-HLOOKUP("m3 Rundholz/m3 Produkt",$I$2:$K$103,ROW()-1,FALSE)</f>
        <v>-1</v>
      </c>
      <c r="O92" s="2">
        <v>0</v>
      </c>
      <c r="P92" s="2">
        <v>0</v>
      </c>
      <c r="Q92" s="2">
        <v>0</v>
      </c>
      <c r="R92" s="2">
        <v>0</v>
      </c>
      <c r="S92" s="2">
        <v>0</v>
      </c>
      <c r="T92" s="2">
        <v>0</v>
      </c>
      <c r="U92" s="2">
        <v>0</v>
      </c>
      <c r="V92" s="2">
        <v>0</v>
      </c>
      <c r="W92" s="2">
        <v>0</v>
      </c>
      <c r="X92" s="2">
        <v>0</v>
      </c>
      <c r="Y92" s="2">
        <v>0</v>
      </c>
      <c r="Z92" s="2">
        <v>0</v>
      </c>
      <c r="AA92" s="2">
        <v>0</v>
      </c>
      <c r="AB92" s="2">
        <v>0</v>
      </c>
      <c r="AC92" s="2">
        <v>0</v>
      </c>
      <c r="AD92" s="2">
        <v>0</v>
      </c>
      <c r="AE92" s="2">
        <v>0</v>
      </c>
      <c r="AF92" s="2">
        <v>0</v>
      </c>
      <c r="AG92" s="2">
        <v>0</v>
      </c>
      <c r="AH92" s="2">
        <v>0</v>
      </c>
      <c r="AI92" s="2">
        <v>0</v>
      </c>
      <c r="AJ92" s="2">
        <v>0</v>
      </c>
      <c r="AK92" s="2">
        <v>0</v>
      </c>
      <c r="AL92" s="2">
        <v>0</v>
      </c>
      <c r="AM92" s="2">
        <v>0</v>
      </c>
      <c r="AN92" s="37">
        <v>0</v>
      </c>
      <c r="AO92" s="2">
        <v>0</v>
      </c>
      <c r="AP92" s="2">
        <v>0</v>
      </c>
      <c r="AQ92" s="2">
        <v>0</v>
      </c>
      <c r="AR92" s="2">
        <v>0</v>
      </c>
      <c r="AS92" s="2">
        <v>0</v>
      </c>
      <c r="AT92" s="2">
        <v>0</v>
      </c>
      <c r="AU92" s="2">
        <v>0</v>
      </c>
      <c r="AV92" s="2">
        <v>0</v>
      </c>
      <c r="AW92" s="2">
        <v>0</v>
      </c>
      <c r="AX92" s="2">
        <v>0</v>
      </c>
      <c r="AY92" s="2">
        <v>0</v>
      </c>
      <c r="AZ92" s="2">
        <v>0</v>
      </c>
      <c r="BA92" s="2">
        <v>0</v>
      </c>
      <c r="BB92" s="2">
        <v>0</v>
      </c>
      <c r="BC92" s="2">
        <v>0</v>
      </c>
      <c r="BD92" s="2">
        <v>0</v>
      </c>
      <c r="BE92" s="2">
        <v>0</v>
      </c>
      <c r="BF92" s="2">
        <v>0</v>
      </c>
      <c r="BG92" s="2">
        <v>0</v>
      </c>
      <c r="BH92" s="2">
        <v>0</v>
      </c>
      <c r="BI92" s="2">
        <v>0</v>
      </c>
      <c r="BJ92" s="2">
        <v>0</v>
      </c>
      <c r="BK92" s="2">
        <v>0</v>
      </c>
      <c r="BL92" s="2">
        <v>0</v>
      </c>
      <c r="BM92" s="2">
        <v>0</v>
      </c>
      <c r="BN92" s="2">
        <v>0</v>
      </c>
      <c r="BO92" s="2">
        <v>0</v>
      </c>
      <c r="BP92" s="2">
        <v>0</v>
      </c>
      <c r="BQ92" s="2">
        <v>0</v>
      </c>
      <c r="BR92" s="2">
        <v>0</v>
      </c>
      <c r="BS92" s="2">
        <v>0</v>
      </c>
      <c r="BT92" s="2">
        <v>0</v>
      </c>
      <c r="BU92" s="2">
        <v>0</v>
      </c>
      <c r="BV92" s="2">
        <v>0</v>
      </c>
      <c r="BW92" s="2">
        <v>0</v>
      </c>
      <c r="BX92" s="2">
        <v>0</v>
      </c>
      <c r="BY92" s="2">
        <v>0</v>
      </c>
      <c r="BZ92" s="2">
        <v>0</v>
      </c>
      <c r="CA92" s="2">
        <v>0</v>
      </c>
      <c r="CB92" s="2">
        <v>0</v>
      </c>
      <c r="CC92" s="2">
        <v>0</v>
      </c>
      <c r="CD92" s="2">
        <v>0</v>
      </c>
      <c r="CE92" s="2">
        <v>0</v>
      </c>
      <c r="CF92" s="2">
        <v>0</v>
      </c>
      <c r="CG92" s="2">
        <v>0</v>
      </c>
      <c r="CH92" s="2">
        <v>0</v>
      </c>
      <c r="CI92" s="2">
        <v>0</v>
      </c>
      <c r="CJ92" s="2">
        <v>0</v>
      </c>
      <c r="CK92" s="2">
        <v>0</v>
      </c>
      <c r="CL92" s="2">
        <v>0</v>
      </c>
      <c r="CM92" s="2">
        <v>0</v>
      </c>
      <c r="CN92" s="2">
        <v>0</v>
      </c>
      <c r="CO92" s="2">
        <v>0</v>
      </c>
      <c r="CP92" s="2">
        <v>0</v>
      </c>
      <c r="CQ92" s="2">
        <v>0</v>
      </c>
      <c r="CR92" s="2">
        <v>0</v>
      </c>
      <c r="CS92" s="2">
        <v>0</v>
      </c>
      <c r="CT92" s="2">
        <v>0</v>
      </c>
      <c r="CU92" s="2">
        <v>0</v>
      </c>
      <c r="CV92" s="2">
        <v>0</v>
      </c>
      <c r="CW92" s="2">
        <v>0</v>
      </c>
      <c r="CX92" s="2">
        <v>0</v>
      </c>
      <c r="CY92" s="2">
        <v>0</v>
      </c>
      <c r="CZ92" s="2" t="e">
        <f>1000*'Auswertung Eingaben'!$N$4</f>
        <v>#N/A</v>
      </c>
      <c r="DA92" s="2">
        <v>0</v>
      </c>
      <c r="DB92" s="2">
        <v>0</v>
      </c>
      <c r="DC92" s="2">
        <v>0</v>
      </c>
      <c r="DD92" s="2">
        <v>0</v>
      </c>
      <c r="DE92" s="2">
        <v>0</v>
      </c>
      <c r="DF92" s="2">
        <v>0</v>
      </c>
    </row>
    <row r="93" spans="1:110" ht="34" x14ac:dyDescent="0.2">
      <c r="A93" s="2" t="s">
        <v>102</v>
      </c>
      <c r="B93" s="2" t="s">
        <v>82</v>
      </c>
      <c r="D93" s="2" t="s">
        <v>58</v>
      </c>
      <c r="E93" s="2" t="str">
        <f t="shared" si="18"/>
        <v>Holzschnitzel Nadelholz ab Sägewerk  - CH</v>
      </c>
      <c r="F93" s="2" t="s">
        <v>89</v>
      </c>
      <c r="G93" s="52" t="e">
        <f>'Auswertung Eingaben'!$M$4</f>
        <v>#N/A</v>
      </c>
      <c r="H93" s="52" t="s">
        <v>224</v>
      </c>
      <c r="I93" s="36">
        <v>1</v>
      </c>
      <c r="J93" s="36">
        <v>1</v>
      </c>
      <c r="K93" s="36">
        <v>1</v>
      </c>
      <c r="L93" s="2">
        <v>0</v>
      </c>
      <c r="M93" s="2">
        <v>0</v>
      </c>
      <c r="N93" s="2">
        <f>-HLOOKUP("m3 Rundholz/m3 Produkt",$I$2:$K$103,ROW()-1,FALSE)</f>
        <v>-1</v>
      </c>
      <c r="O93" s="2">
        <v>0</v>
      </c>
      <c r="P93" s="2">
        <v>0</v>
      </c>
      <c r="Q93" s="2">
        <v>0</v>
      </c>
      <c r="R93" s="2">
        <v>0</v>
      </c>
      <c r="S93" s="2">
        <v>0</v>
      </c>
      <c r="T93" s="2">
        <v>0</v>
      </c>
      <c r="U93" s="2">
        <v>0</v>
      </c>
      <c r="V93" s="2">
        <v>0</v>
      </c>
      <c r="W93" s="2">
        <v>0</v>
      </c>
      <c r="X93" s="2">
        <v>0</v>
      </c>
      <c r="Y93" s="2">
        <v>0</v>
      </c>
      <c r="Z93" s="2">
        <v>0</v>
      </c>
      <c r="AA93" s="2">
        <v>0</v>
      </c>
      <c r="AB93" s="2">
        <v>0</v>
      </c>
      <c r="AC93" s="2">
        <v>0</v>
      </c>
      <c r="AD93" s="2">
        <v>0</v>
      </c>
      <c r="AE93" s="2">
        <v>0</v>
      </c>
      <c r="AF93" s="2">
        <v>0</v>
      </c>
      <c r="AG93" s="2">
        <v>0</v>
      </c>
      <c r="AH93" s="2">
        <v>0</v>
      </c>
      <c r="AI93" s="2">
        <v>0</v>
      </c>
      <c r="AJ93" s="2">
        <v>0</v>
      </c>
      <c r="AK93" s="2">
        <v>0</v>
      </c>
      <c r="AL93" s="2">
        <v>0</v>
      </c>
      <c r="AM93" s="2">
        <v>0</v>
      </c>
      <c r="AN93" s="37">
        <v>0</v>
      </c>
      <c r="AO93" s="2">
        <v>0</v>
      </c>
      <c r="AP93" s="2">
        <v>0</v>
      </c>
      <c r="AQ93" s="2">
        <v>0</v>
      </c>
      <c r="AR93" s="2">
        <v>0</v>
      </c>
      <c r="AS93" s="2">
        <v>0</v>
      </c>
      <c r="AT93" s="2">
        <v>0</v>
      </c>
      <c r="AU93" s="2">
        <v>0</v>
      </c>
      <c r="AV93" s="2">
        <v>0</v>
      </c>
      <c r="AW93" s="2">
        <v>0</v>
      </c>
      <c r="AX93" s="2">
        <v>0</v>
      </c>
      <c r="AY93" s="2">
        <v>0</v>
      </c>
      <c r="AZ93" s="2">
        <v>0</v>
      </c>
      <c r="BA93" s="2">
        <v>0</v>
      </c>
      <c r="BB93" s="2">
        <v>0</v>
      </c>
      <c r="BC93" s="2">
        <v>0</v>
      </c>
      <c r="BD93" s="2">
        <v>0</v>
      </c>
      <c r="BE93" s="2">
        <v>0</v>
      </c>
      <c r="BF93" s="2">
        <v>0</v>
      </c>
      <c r="BG93" s="2">
        <v>0</v>
      </c>
      <c r="BH93" s="2">
        <v>0</v>
      </c>
      <c r="BI93" s="2">
        <v>0</v>
      </c>
      <c r="BJ93" s="2">
        <v>0</v>
      </c>
      <c r="BK93" s="2">
        <v>0</v>
      </c>
      <c r="BL93" s="2">
        <v>0</v>
      </c>
      <c r="BM93" s="2">
        <v>0</v>
      </c>
      <c r="BN93" s="2">
        <v>0</v>
      </c>
      <c r="BO93" s="2">
        <v>0</v>
      </c>
      <c r="BP93" s="2">
        <v>0</v>
      </c>
      <c r="BQ93" s="2">
        <v>0</v>
      </c>
      <c r="BR93" s="2">
        <v>0</v>
      </c>
      <c r="BS93" s="2">
        <v>0</v>
      </c>
      <c r="BT93" s="2">
        <v>0</v>
      </c>
      <c r="BU93" s="2">
        <v>0</v>
      </c>
      <c r="BV93" s="2">
        <v>0</v>
      </c>
      <c r="BW93" s="2">
        <v>0</v>
      </c>
      <c r="BX93" s="2">
        <v>0</v>
      </c>
      <c r="BY93" s="2">
        <v>0</v>
      </c>
      <c r="BZ93" s="2">
        <v>0</v>
      </c>
      <c r="CA93" s="2">
        <v>0</v>
      </c>
      <c r="CB93" s="2">
        <v>0</v>
      </c>
      <c r="CC93" s="2">
        <v>0</v>
      </c>
      <c r="CD93" s="2">
        <v>0</v>
      </c>
      <c r="CE93" s="2">
        <v>0</v>
      </c>
      <c r="CF93" s="2">
        <v>0</v>
      </c>
      <c r="CG93" s="2">
        <v>0</v>
      </c>
      <c r="CH93" s="2">
        <v>0</v>
      </c>
      <c r="CI93" s="2">
        <v>0</v>
      </c>
      <c r="CJ93" s="2">
        <v>0</v>
      </c>
      <c r="CK93" s="2">
        <v>0</v>
      </c>
      <c r="CL93" s="2">
        <v>0</v>
      </c>
      <c r="CM93" s="2">
        <v>0</v>
      </c>
      <c r="CN93" s="2">
        <v>0</v>
      </c>
      <c r="CO93" s="2">
        <v>0</v>
      </c>
      <c r="CP93" s="2">
        <v>0</v>
      </c>
      <c r="CQ93" s="2">
        <v>0</v>
      </c>
      <c r="CR93" s="2">
        <v>0</v>
      </c>
      <c r="CS93" s="2">
        <v>0</v>
      </c>
      <c r="CT93" s="2">
        <v>0</v>
      </c>
      <c r="CU93" s="2">
        <v>0</v>
      </c>
      <c r="CV93" s="2">
        <v>0</v>
      </c>
      <c r="CW93" s="2">
        <v>0</v>
      </c>
      <c r="CX93" s="2">
        <v>0</v>
      </c>
      <c r="CY93" s="2" t="e">
        <f>1000*'Auswertung Eingaben'!$N$4</f>
        <v>#N/A</v>
      </c>
      <c r="CZ93" s="2">
        <v>0</v>
      </c>
      <c r="DA93" s="2">
        <v>0</v>
      </c>
      <c r="DB93" s="2">
        <v>0</v>
      </c>
      <c r="DC93" s="2">
        <v>0</v>
      </c>
      <c r="DD93" s="2">
        <v>0</v>
      </c>
      <c r="DE93" s="2">
        <v>0</v>
      </c>
      <c r="DF93" s="2">
        <v>0</v>
      </c>
    </row>
    <row r="94" spans="1:110" ht="51" x14ac:dyDescent="0.2">
      <c r="A94" s="2" t="s">
        <v>102</v>
      </c>
      <c r="B94" s="2" t="s">
        <v>396</v>
      </c>
      <c r="D94" s="2" t="s">
        <v>58</v>
      </c>
      <c r="E94" s="2" t="str">
        <f t="shared" si="18"/>
        <v>Holzschnitzel Gemischt ab Wald (50% Laub- / 50% Nadelholz)  - CH</v>
      </c>
      <c r="F94" s="2" t="s">
        <v>226</v>
      </c>
      <c r="G94" s="52" t="e">
        <f>'Auswertung Eingaben'!$M$4</f>
        <v>#N/A</v>
      </c>
      <c r="H94" s="52" t="s">
        <v>229</v>
      </c>
      <c r="I94" s="36">
        <v>1</v>
      </c>
      <c r="J94" s="36">
        <v>1</v>
      </c>
      <c r="K94" s="36">
        <v>1</v>
      </c>
      <c r="L94" s="2">
        <f>-HLOOKUP("m3 Rundholz/m3 Produkt",$I$2:$K$103,ROW()-1,FALSE)</f>
        <v>-1</v>
      </c>
      <c r="M94" s="2">
        <v>0</v>
      </c>
      <c r="N94" s="2">
        <v>0</v>
      </c>
      <c r="O94" s="2">
        <v>0</v>
      </c>
      <c r="P94" s="2">
        <v>0</v>
      </c>
      <c r="Q94" s="2">
        <v>0</v>
      </c>
      <c r="R94" s="2">
        <v>0</v>
      </c>
      <c r="S94" s="2">
        <v>0</v>
      </c>
      <c r="T94" s="2">
        <v>0</v>
      </c>
      <c r="U94" s="2">
        <v>0</v>
      </c>
      <c r="V94" s="2">
        <v>0</v>
      </c>
      <c r="W94" s="2">
        <v>0</v>
      </c>
      <c r="X94" s="2">
        <v>0</v>
      </c>
      <c r="Y94" s="2">
        <v>0</v>
      </c>
      <c r="Z94" s="2">
        <v>0</v>
      </c>
      <c r="AA94" s="2">
        <v>0</v>
      </c>
      <c r="AB94" s="2">
        <v>0</v>
      </c>
      <c r="AC94" s="2">
        <v>0</v>
      </c>
      <c r="AD94" s="2">
        <v>0</v>
      </c>
      <c r="AE94" s="2">
        <v>0</v>
      </c>
      <c r="AF94" s="2">
        <v>0</v>
      </c>
      <c r="AG94" s="2">
        <v>0</v>
      </c>
      <c r="AH94" s="2">
        <v>0</v>
      </c>
      <c r="AI94" s="2">
        <v>0</v>
      </c>
      <c r="AJ94" s="2">
        <v>0</v>
      </c>
      <c r="AK94" s="2">
        <v>0</v>
      </c>
      <c r="AL94" s="2">
        <v>0</v>
      </c>
      <c r="AM94" s="2">
        <v>0</v>
      </c>
      <c r="AN94" s="37">
        <v>0</v>
      </c>
      <c r="AO94" s="2">
        <v>0</v>
      </c>
      <c r="AP94" s="2">
        <v>0</v>
      </c>
      <c r="AQ94" s="2">
        <v>0</v>
      </c>
      <c r="AR94" s="2">
        <v>0</v>
      </c>
      <c r="AS94" s="2">
        <v>0</v>
      </c>
      <c r="AT94" s="2">
        <v>0</v>
      </c>
      <c r="AU94" s="2">
        <v>0</v>
      </c>
      <c r="AV94" s="2">
        <v>0</v>
      </c>
      <c r="AW94" s="2">
        <v>0</v>
      </c>
      <c r="AX94" s="2">
        <v>0</v>
      </c>
      <c r="AY94" s="2">
        <v>0</v>
      </c>
      <c r="AZ94" s="2">
        <v>0</v>
      </c>
      <c r="BA94" s="2">
        <v>0</v>
      </c>
      <c r="BB94" s="2">
        <v>0</v>
      </c>
      <c r="BC94" s="2">
        <v>0</v>
      </c>
      <c r="BD94" s="2">
        <v>0</v>
      </c>
      <c r="BE94" s="2">
        <v>0</v>
      </c>
      <c r="BF94" s="2">
        <v>0</v>
      </c>
      <c r="BG94" s="2">
        <v>0</v>
      </c>
      <c r="BH94" s="2">
        <v>0</v>
      </c>
      <c r="BI94" s="2">
        <v>0</v>
      </c>
      <c r="BJ94" s="2">
        <v>0</v>
      </c>
      <c r="BK94" s="2">
        <v>0</v>
      </c>
      <c r="BL94" s="2">
        <v>0</v>
      </c>
      <c r="BM94" s="2">
        <v>0</v>
      </c>
      <c r="BN94" s="2">
        <v>0</v>
      </c>
      <c r="BO94" s="2">
        <v>0</v>
      </c>
      <c r="BP94" s="2">
        <v>0</v>
      </c>
      <c r="BQ94" s="2">
        <v>0</v>
      </c>
      <c r="BR94" s="2">
        <v>0</v>
      </c>
      <c r="BS94" s="2">
        <v>0</v>
      </c>
      <c r="BT94" s="2">
        <v>0</v>
      </c>
      <c r="BU94" s="2">
        <v>0</v>
      </c>
      <c r="BV94" s="2">
        <v>0</v>
      </c>
      <c r="BW94" s="2">
        <v>0</v>
      </c>
      <c r="BX94" s="2">
        <v>0</v>
      </c>
      <c r="BY94" s="2">
        <v>0</v>
      </c>
      <c r="BZ94" s="2">
        <v>0</v>
      </c>
      <c r="CA94" s="2">
        <v>0</v>
      </c>
      <c r="CB94" s="2">
        <v>0</v>
      </c>
      <c r="CC94" s="2">
        <v>0</v>
      </c>
      <c r="CD94" s="2">
        <v>0</v>
      </c>
      <c r="CE94" s="2">
        <v>0</v>
      </c>
      <c r="CF94" s="2">
        <v>0</v>
      </c>
      <c r="CG94" s="2">
        <v>0</v>
      </c>
      <c r="CH94" s="2">
        <v>0</v>
      </c>
      <c r="CI94" s="2">
        <v>0</v>
      </c>
      <c r="CJ94" s="2">
        <v>0</v>
      </c>
      <c r="CK94" s="2">
        <v>0</v>
      </c>
      <c r="CL94" s="2">
        <v>0</v>
      </c>
      <c r="CM94" s="2">
        <v>0</v>
      </c>
      <c r="CN94" s="2">
        <v>0</v>
      </c>
      <c r="CO94" s="2">
        <v>0</v>
      </c>
      <c r="CP94" s="2">
        <v>0</v>
      </c>
      <c r="CQ94" s="2">
        <v>0</v>
      </c>
      <c r="CR94" s="2">
        <v>0</v>
      </c>
      <c r="CS94" s="2">
        <v>0</v>
      </c>
      <c r="CT94" s="2">
        <v>0</v>
      </c>
      <c r="CU94" s="2" t="e">
        <f>1000*'Auswertung Eingaben'!$O$4*Transportdaten!$R$12</f>
        <v>#N/A</v>
      </c>
      <c r="CV94" s="2">
        <v>0</v>
      </c>
      <c r="CW94" s="2">
        <v>0</v>
      </c>
      <c r="CX94" s="2">
        <v>0</v>
      </c>
      <c r="CY94" s="2">
        <v>0</v>
      </c>
      <c r="CZ94" s="2" t="e">
        <f>1000*'Auswertung Eingaben'!$N$4*(1-Transportdaten!$R$12)</f>
        <v>#N/A</v>
      </c>
      <c r="DA94" s="2">
        <v>0</v>
      </c>
      <c r="DB94" s="2">
        <v>0</v>
      </c>
      <c r="DC94" s="2">
        <v>0</v>
      </c>
      <c r="DD94" s="2">
        <v>0</v>
      </c>
      <c r="DE94" s="2">
        <v>0</v>
      </c>
      <c r="DF94" s="2">
        <v>0</v>
      </c>
    </row>
    <row r="95" spans="1:110" ht="68" x14ac:dyDescent="0.2">
      <c r="A95" s="2" t="s">
        <v>102</v>
      </c>
      <c r="B95" s="2" t="s">
        <v>397</v>
      </c>
      <c r="D95" s="2" t="s">
        <v>58</v>
      </c>
      <c r="E95" s="2" t="str">
        <f t="shared" si="18"/>
        <v>Holzschnitzel Gemischt ab Sägewerk (50% Laub- / 50% Nadelholz)  - CH</v>
      </c>
      <c r="F95" s="2" t="s">
        <v>226</v>
      </c>
      <c r="G95" s="52" t="e">
        <f>'Auswertung Eingaben'!$M$4</f>
        <v>#N/A</v>
      </c>
      <c r="H95" s="52" t="s">
        <v>230</v>
      </c>
      <c r="I95" s="36">
        <v>1</v>
      </c>
      <c r="J95" s="36">
        <v>1</v>
      </c>
      <c r="K95" s="36">
        <v>1</v>
      </c>
      <c r="L95" s="2">
        <f>-HLOOKUP("m3 Rundholz/m3 Produkt",$I$2:$K$103,ROW()-1,FALSE)</f>
        <v>-1</v>
      </c>
      <c r="M95" s="2">
        <v>0</v>
      </c>
      <c r="N95" s="2">
        <v>0</v>
      </c>
      <c r="O95" s="2">
        <v>0</v>
      </c>
      <c r="P95" s="2">
        <v>0</v>
      </c>
      <c r="Q95" s="2">
        <v>0</v>
      </c>
      <c r="R95" s="2">
        <v>0</v>
      </c>
      <c r="S95" s="2">
        <v>0</v>
      </c>
      <c r="T95" s="2">
        <v>0</v>
      </c>
      <c r="U95" s="2">
        <v>0</v>
      </c>
      <c r="V95" s="2">
        <v>0</v>
      </c>
      <c r="W95" s="2">
        <v>0</v>
      </c>
      <c r="X95" s="2">
        <v>0</v>
      </c>
      <c r="Y95" s="2">
        <v>0</v>
      </c>
      <c r="Z95" s="2">
        <v>0</v>
      </c>
      <c r="AA95" s="2">
        <v>0</v>
      </c>
      <c r="AB95" s="2">
        <v>0</v>
      </c>
      <c r="AC95" s="2">
        <v>0</v>
      </c>
      <c r="AD95" s="2">
        <v>0</v>
      </c>
      <c r="AE95" s="2">
        <v>0</v>
      </c>
      <c r="AF95" s="2">
        <v>0</v>
      </c>
      <c r="AG95" s="2">
        <v>0</v>
      </c>
      <c r="AH95" s="2">
        <v>0</v>
      </c>
      <c r="AI95" s="2">
        <v>0</v>
      </c>
      <c r="AJ95" s="2">
        <v>0</v>
      </c>
      <c r="AK95" s="2">
        <v>0</v>
      </c>
      <c r="AL95" s="2">
        <v>0</v>
      </c>
      <c r="AM95" s="2">
        <v>0</v>
      </c>
      <c r="AN95" s="37">
        <v>0</v>
      </c>
      <c r="AO95" s="2">
        <v>0</v>
      </c>
      <c r="AP95" s="2">
        <v>0</v>
      </c>
      <c r="AQ95" s="2">
        <v>0</v>
      </c>
      <c r="AR95" s="2">
        <v>0</v>
      </c>
      <c r="AS95" s="2">
        <v>0</v>
      </c>
      <c r="AT95" s="2">
        <v>0</v>
      </c>
      <c r="AU95" s="2">
        <v>0</v>
      </c>
      <c r="AV95" s="2">
        <v>0</v>
      </c>
      <c r="AW95" s="2">
        <v>0</v>
      </c>
      <c r="AX95" s="2">
        <v>0</v>
      </c>
      <c r="AY95" s="2">
        <v>0</v>
      </c>
      <c r="AZ95" s="2">
        <v>0</v>
      </c>
      <c r="BA95" s="2">
        <v>0</v>
      </c>
      <c r="BB95" s="2">
        <v>0</v>
      </c>
      <c r="BC95" s="2">
        <v>0</v>
      </c>
      <c r="BD95" s="2">
        <v>0</v>
      </c>
      <c r="BE95" s="2">
        <v>0</v>
      </c>
      <c r="BF95" s="2">
        <v>0</v>
      </c>
      <c r="BG95" s="2">
        <v>0</v>
      </c>
      <c r="BH95" s="2">
        <v>0</v>
      </c>
      <c r="BI95" s="2">
        <v>0</v>
      </c>
      <c r="BJ95" s="2">
        <v>0</v>
      </c>
      <c r="BK95" s="2">
        <v>0</v>
      </c>
      <c r="BL95" s="2">
        <v>0</v>
      </c>
      <c r="BM95" s="2">
        <v>0</v>
      </c>
      <c r="BN95" s="2">
        <v>0</v>
      </c>
      <c r="BO95" s="2">
        <v>0</v>
      </c>
      <c r="BP95" s="2">
        <v>0</v>
      </c>
      <c r="BQ95" s="2">
        <v>0</v>
      </c>
      <c r="BR95" s="2">
        <v>0</v>
      </c>
      <c r="BS95" s="2">
        <v>0</v>
      </c>
      <c r="BT95" s="2">
        <v>0</v>
      </c>
      <c r="BU95" s="2">
        <v>0</v>
      </c>
      <c r="BV95" s="2">
        <v>0</v>
      </c>
      <c r="BW95" s="2">
        <v>0</v>
      </c>
      <c r="BX95" s="2">
        <v>0</v>
      </c>
      <c r="BY95" s="2">
        <v>0</v>
      </c>
      <c r="BZ95" s="2">
        <v>0</v>
      </c>
      <c r="CA95" s="2">
        <v>0</v>
      </c>
      <c r="CB95" s="2">
        <v>0</v>
      </c>
      <c r="CC95" s="2">
        <v>0</v>
      </c>
      <c r="CD95" s="2">
        <v>0</v>
      </c>
      <c r="CE95" s="2">
        <v>0</v>
      </c>
      <c r="CF95" s="2">
        <v>0</v>
      </c>
      <c r="CG95" s="2">
        <v>0</v>
      </c>
      <c r="CH95" s="2">
        <v>0</v>
      </c>
      <c r="CI95" s="2">
        <v>0</v>
      </c>
      <c r="CJ95" s="2">
        <v>0</v>
      </c>
      <c r="CK95" s="2">
        <v>0</v>
      </c>
      <c r="CL95" s="2">
        <v>0</v>
      </c>
      <c r="CM95" s="2">
        <v>0</v>
      </c>
      <c r="CN95" s="2">
        <v>0</v>
      </c>
      <c r="CO95" s="2">
        <v>0</v>
      </c>
      <c r="CP95" s="2">
        <v>0</v>
      </c>
      <c r="CQ95" s="2">
        <v>0</v>
      </c>
      <c r="CR95" s="2">
        <v>0</v>
      </c>
      <c r="CS95" s="2">
        <v>0</v>
      </c>
      <c r="CT95" s="2">
        <v>0</v>
      </c>
      <c r="CU95" s="2">
        <v>0</v>
      </c>
      <c r="CV95" s="2">
        <v>0</v>
      </c>
      <c r="CW95" s="2" t="e">
        <f>1000*'Auswertung Eingaben'!$O$4</f>
        <v>#N/A</v>
      </c>
      <c r="CX95" s="2">
        <v>0</v>
      </c>
      <c r="CY95" s="2">
        <v>0</v>
      </c>
      <c r="CZ95" s="2">
        <v>0</v>
      </c>
      <c r="DA95" s="2">
        <v>0</v>
      </c>
      <c r="DB95" s="2">
        <v>0</v>
      </c>
      <c r="DC95" s="2">
        <v>0</v>
      </c>
      <c r="DD95" s="2">
        <v>0</v>
      </c>
      <c r="DE95" s="2">
        <v>0</v>
      </c>
      <c r="DF95" s="2">
        <v>0</v>
      </c>
    </row>
    <row r="96" spans="1:110" ht="34" x14ac:dyDescent="0.2">
      <c r="A96" s="2" t="s">
        <v>102</v>
      </c>
      <c r="B96" s="2" t="s">
        <v>79</v>
      </c>
      <c r="D96" s="2" t="s">
        <v>59</v>
      </c>
      <c r="E96" s="2" t="str">
        <f t="shared" si="18"/>
        <v>Holzschnitzel Laubholz ab Wald  - RER</v>
      </c>
      <c r="F96" s="2" t="s">
        <v>88</v>
      </c>
      <c r="G96" s="52" t="e">
        <f>'Auswertung Eingaben'!$M$4</f>
        <v>#N/A</v>
      </c>
      <c r="H96" s="52" t="s">
        <v>220</v>
      </c>
      <c r="I96" s="36">
        <v>1</v>
      </c>
      <c r="J96" s="36">
        <v>1</v>
      </c>
      <c r="K96" s="36">
        <v>1</v>
      </c>
      <c r="L96" s="2">
        <f>-HLOOKUP("m3 Rundholz/m3 Produkt",$I$2:$K$103,ROW()-1,FALSE)</f>
        <v>-1</v>
      </c>
      <c r="M96" s="2">
        <v>0</v>
      </c>
      <c r="N96" s="2">
        <v>0</v>
      </c>
      <c r="O96" s="2">
        <v>0</v>
      </c>
      <c r="P96" s="2">
        <v>0</v>
      </c>
      <c r="Q96" s="2">
        <v>0</v>
      </c>
      <c r="R96" s="2">
        <v>0</v>
      </c>
      <c r="S96" s="2">
        <v>0</v>
      </c>
      <c r="T96" s="2">
        <v>0</v>
      </c>
      <c r="U96" s="2">
        <v>0</v>
      </c>
      <c r="V96" s="2">
        <v>0</v>
      </c>
      <c r="W96" s="2">
        <v>0</v>
      </c>
      <c r="X96" s="2">
        <v>0</v>
      </c>
      <c r="Y96" s="2">
        <v>0</v>
      </c>
      <c r="Z96" s="2">
        <v>0</v>
      </c>
      <c r="AA96" s="2">
        <v>0</v>
      </c>
      <c r="AB96" s="2">
        <v>0</v>
      </c>
      <c r="AC96" s="2">
        <v>0</v>
      </c>
      <c r="AD96" s="2">
        <v>0</v>
      </c>
      <c r="AE96" s="2">
        <v>0</v>
      </c>
      <c r="AF96" s="2">
        <v>0</v>
      </c>
      <c r="AG96" s="2">
        <v>0</v>
      </c>
      <c r="AH96" s="2">
        <v>0</v>
      </c>
      <c r="AI96" s="2">
        <v>0</v>
      </c>
      <c r="AJ96" s="2">
        <v>0</v>
      </c>
      <c r="AK96" s="2">
        <v>0</v>
      </c>
      <c r="AL96" s="2">
        <v>0</v>
      </c>
      <c r="AM96" s="2">
        <v>0</v>
      </c>
      <c r="AN96" s="37">
        <v>0</v>
      </c>
      <c r="AO96" s="2">
        <v>0</v>
      </c>
      <c r="AP96" s="2">
        <v>0</v>
      </c>
      <c r="AQ96" s="2">
        <v>0</v>
      </c>
      <c r="AR96" s="2">
        <v>0</v>
      </c>
      <c r="AS96" s="2">
        <v>0</v>
      </c>
      <c r="AT96" s="2">
        <v>0</v>
      </c>
      <c r="AU96" s="2">
        <v>0</v>
      </c>
      <c r="AV96" s="2">
        <v>0</v>
      </c>
      <c r="AW96" s="2">
        <v>0</v>
      </c>
      <c r="AX96" s="2">
        <v>0</v>
      </c>
      <c r="AY96" s="2">
        <v>0</v>
      </c>
      <c r="AZ96" s="2">
        <v>0</v>
      </c>
      <c r="BA96" s="2">
        <v>0</v>
      </c>
      <c r="BB96" s="2">
        <v>0</v>
      </c>
      <c r="BC96" s="2">
        <v>0</v>
      </c>
      <c r="BD96" s="2">
        <v>0</v>
      </c>
      <c r="BE96" s="2">
        <v>0</v>
      </c>
      <c r="BF96" s="2">
        <v>0</v>
      </c>
      <c r="BG96" s="2">
        <v>0</v>
      </c>
      <c r="BH96" s="2">
        <v>0</v>
      </c>
      <c r="BI96" s="2">
        <v>0</v>
      </c>
      <c r="BJ96" s="2">
        <v>0</v>
      </c>
      <c r="BK96" s="2">
        <v>0</v>
      </c>
      <c r="BL96" s="2">
        <v>0</v>
      </c>
      <c r="BM96" s="2">
        <v>0</v>
      </c>
      <c r="BN96" s="2">
        <v>0</v>
      </c>
      <c r="BO96" s="2">
        <v>0</v>
      </c>
      <c r="BP96" s="2">
        <v>0</v>
      </c>
      <c r="BQ96" s="2">
        <v>0</v>
      </c>
      <c r="BR96" s="2">
        <v>0</v>
      </c>
      <c r="BS96" s="2">
        <v>0</v>
      </c>
      <c r="BT96" s="2">
        <v>0</v>
      </c>
      <c r="BU96" s="2">
        <v>0</v>
      </c>
      <c r="BV96" s="2">
        <v>0</v>
      </c>
      <c r="BW96" s="2">
        <v>0</v>
      </c>
      <c r="BX96" s="2">
        <v>0</v>
      </c>
      <c r="BY96" s="2">
        <v>0</v>
      </c>
      <c r="BZ96" s="2">
        <v>0</v>
      </c>
      <c r="CA96" s="2">
        <v>0</v>
      </c>
      <c r="CB96" s="2">
        <v>0</v>
      </c>
      <c r="CC96" s="2">
        <v>0</v>
      </c>
      <c r="CD96" s="2">
        <v>0</v>
      </c>
      <c r="CE96" s="2">
        <v>0</v>
      </c>
      <c r="CF96" s="2">
        <v>0</v>
      </c>
      <c r="CG96" s="2">
        <v>0</v>
      </c>
      <c r="CH96" s="2">
        <v>0</v>
      </c>
      <c r="CI96" s="2">
        <v>0</v>
      </c>
      <c r="CJ96" s="2">
        <v>0</v>
      </c>
      <c r="CK96" s="2">
        <v>0</v>
      </c>
      <c r="CL96" s="2">
        <v>0</v>
      </c>
      <c r="CM96" s="2">
        <v>0</v>
      </c>
      <c r="CN96" s="2">
        <v>0</v>
      </c>
      <c r="CO96" s="2">
        <v>0</v>
      </c>
      <c r="CP96" s="2">
        <v>0</v>
      </c>
      <c r="CQ96" s="2">
        <v>0</v>
      </c>
      <c r="CR96" s="2">
        <v>0</v>
      </c>
      <c r="CS96" s="2">
        <v>0</v>
      </c>
      <c r="CT96" s="2">
        <v>0</v>
      </c>
      <c r="CU96" s="2" t="e">
        <f>1000*'Auswertung Eingaben'!$O$4</f>
        <v>#N/A</v>
      </c>
      <c r="CV96" s="2">
        <v>0</v>
      </c>
      <c r="CW96" s="2">
        <v>0</v>
      </c>
      <c r="CX96" s="2">
        <v>0</v>
      </c>
      <c r="CY96" s="2">
        <v>0</v>
      </c>
      <c r="CZ96" s="2">
        <v>0</v>
      </c>
      <c r="DA96" s="2">
        <v>0</v>
      </c>
      <c r="DB96" s="2">
        <v>0</v>
      </c>
      <c r="DC96" s="2">
        <v>0</v>
      </c>
      <c r="DD96" s="2">
        <v>0</v>
      </c>
      <c r="DE96" s="2">
        <v>0</v>
      </c>
      <c r="DF96" s="2">
        <v>0</v>
      </c>
    </row>
    <row r="97" spans="1:110" ht="34" x14ac:dyDescent="0.2">
      <c r="A97" s="2" t="s">
        <v>102</v>
      </c>
      <c r="B97" s="2" t="s">
        <v>81</v>
      </c>
      <c r="D97" s="2" t="s">
        <v>59</v>
      </c>
      <c r="E97" s="2" t="str">
        <f t="shared" si="18"/>
        <v>Holzschnitzel Laubholz ab Sägewerk  - RER</v>
      </c>
      <c r="F97" s="2" t="s">
        <v>88</v>
      </c>
      <c r="G97" s="52" t="e">
        <f>'Auswertung Eingaben'!$M$4</f>
        <v>#N/A</v>
      </c>
      <c r="H97" s="52" t="s">
        <v>221</v>
      </c>
      <c r="I97" s="36">
        <v>1</v>
      </c>
      <c r="J97" s="36">
        <v>1</v>
      </c>
      <c r="K97" s="36">
        <v>1</v>
      </c>
      <c r="L97" s="2">
        <v>0</v>
      </c>
      <c r="M97" s="2">
        <f>-HLOOKUP("m3 Rundholz/m3 Produkt",$I$2:$K$103,ROW()-1,FALSE)</f>
        <v>-1</v>
      </c>
      <c r="N97" s="2">
        <v>0</v>
      </c>
      <c r="O97" s="2">
        <v>0</v>
      </c>
      <c r="P97" s="2">
        <v>0</v>
      </c>
      <c r="Q97" s="2">
        <v>0</v>
      </c>
      <c r="R97" s="2">
        <v>0</v>
      </c>
      <c r="S97" s="2">
        <v>0</v>
      </c>
      <c r="T97" s="2">
        <v>0</v>
      </c>
      <c r="U97" s="2">
        <v>0</v>
      </c>
      <c r="V97" s="2">
        <v>0</v>
      </c>
      <c r="W97" s="2">
        <v>0</v>
      </c>
      <c r="X97" s="2">
        <v>0</v>
      </c>
      <c r="Y97" s="2">
        <v>0</v>
      </c>
      <c r="Z97" s="2">
        <v>0</v>
      </c>
      <c r="AA97" s="2">
        <v>0</v>
      </c>
      <c r="AB97" s="2">
        <v>0</v>
      </c>
      <c r="AC97" s="2">
        <v>0</v>
      </c>
      <c r="AD97" s="2">
        <v>0</v>
      </c>
      <c r="AE97" s="2">
        <v>0</v>
      </c>
      <c r="AF97" s="2">
        <v>0</v>
      </c>
      <c r="AG97" s="2">
        <v>0</v>
      </c>
      <c r="AH97" s="2">
        <v>0</v>
      </c>
      <c r="AI97" s="2">
        <v>0</v>
      </c>
      <c r="AJ97" s="2">
        <v>0</v>
      </c>
      <c r="AK97" s="2">
        <v>0</v>
      </c>
      <c r="AL97" s="2">
        <v>0</v>
      </c>
      <c r="AM97" s="2">
        <v>0</v>
      </c>
      <c r="AN97" s="37">
        <v>0</v>
      </c>
      <c r="AO97" s="2">
        <v>0</v>
      </c>
      <c r="AP97" s="2">
        <v>0</v>
      </c>
      <c r="AQ97" s="2">
        <v>0</v>
      </c>
      <c r="AR97" s="2">
        <v>0</v>
      </c>
      <c r="AS97" s="2">
        <v>0</v>
      </c>
      <c r="AT97" s="2">
        <v>0</v>
      </c>
      <c r="AU97" s="2">
        <v>0</v>
      </c>
      <c r="AV97" s="2">
        <v>0</v>
      </c>
      <c r="AW97" s="2">
        <v>0</v>
      </c>
      <c r="AX97" s="2">
        <v>0</v>
      </c>
      <c r="AY97" s="2">
        <v>0</v>
      </c>
      <c r="AZ97" s="2">
        <v>0</v>
      </c>
      <c r="BA97" s="2">
        <v>0</v>
      </c>
      <c r="BB97" s="2">
        <v>0</v>
      </c>
      <c r="BC97" s="2">
        <v>0</v>
      </c>
      <c r="BD97" s="2">
        <v>0</v>
      </c>
      <c r="BE97" s="2">
        <v>0</v>
      </c>
      <c r="BF97" s="2">
        <v>0</v>
      </c>
      <c r="BG97" s="2">
        <v>0</v>
      </c>
      <c r="BH97" s="2">
        <v>0</v>
      </c>
      <c r="BI97" s="2">
        <v>0</v>
      </c>
      <c r="BJ97" s="2">
        <v>0</v>
      </c>
      <c r="BK97" s="2">
        <v>0</v>
      </c>
      <c r="BL97" s="2">
        <v>0</v>
      </c>
      <c r="BM97" s="2">
        <v>0</v>
      </c>
      <c r="BN97" s="2">
        <v>0</v>
      </c>
      <c r="BO97" s="2">
        <v>0</v>
      </c>
      <c r="BP97" s="2">
        <v>0</v>
      </c>
      <c r="BQ97" s="2">
        <v>0</v>
      </c>
      <c r="BR97" s="2">
        <v>0</v>
      </c>
      <c r="BS97" s="2">
        <v>0</v>
      </c>
      <c r="BT97" s="2">
        <v>0</v>
      </c>
      <c r="BU97" s="2">
        <v>0</v>
      </c>
      <c r="BV97" s="2">
        <v>0</v>
      </c>
      <c r="BW97" s="2">
        <v>0</v>
      </c>
      <c r="BX97" s="2">
        <v>0</v>
      </c>
      <c r="BY97" s="2">
        <v>0</v>
      </c>
      <c r="BZ97" s="2">
        <v>0</v>
      </c>
      <c r="CA97" s="2">
        <v>0</v>
      </c>
      <c r="CB97" s="2">
        <v>0</v>
      </c>
      <c r="CC97" s="2">
        <v>0</v>
      </c>
      <c r="CD97" s="2">
        <v>0</v>
      </c>
      <c r="CE97" s="2">
        <v>0</v>
      </c>
      <c r="CF97" s="2">
        <v>0</v>
      </c>
      <c r="CG97" s="2">
        <v>0</v>
      </c>
      <c r="CH97" s="2">
        <v>0</v>
      </c>
      <c r="CI97" s="2">
        <v>0</v>
      </c>
      <c r="CJ97" s="2">
        <v>0</v>
      </c>
      <c r="CK97" s="2">
        <v>0</v>
      </c>
      <c r="CL97" s="2">
        <v>0</v>
      </c>
      <c r="CM97" s="2">
        <v>0</v>
      </c>
      <c r="CN97" s="2">
        <v>0</v>
      </c>
      <c r="CO97" s="2">
        <v>0</v>
      </c>
      <c r="CP97" s="2">
        <v>0</v>
      </c>
      <c r="CQ97" s="2">
        <v>0</v>
      </c>
      <c r="CR97" s="2">
        <v>0</v>
      </c>
      <c r="CS97" s="2">
        <v>0</v>
      </c>
      <c r="CT97" s="2">
        <v>0</v>
      </c>
      <c r="CU97" s="2">
        <v>0</v>
      </c>
      <c r="CV97" s="2" t="e">
        <f>1000*'Auswertung Eingaben'!$O$4</f>
        <v>#N/A</v>
      </c>
      <c r="CW97" s="2">
        <v>0</v>
      </c>
      <c r="CX97" s="2">
        <v>0</v>
      </c>
      <c r="CY97" s="2">
        <v>0</v>
      </c>
      <c r="CZ97" s="2">
        <v>0</v>
      </c>
      <c r="DA97" s="2">
        <v>0</v>
      </c>
      <c r="DB97" s="2">
        <v>0</v>
      </c>
      <c r="DC97" s="2">
        <v>0</v>
      </c>
      <c r="DD97" s="2">
        <v>0</v>
      </c>
      <c r="DE97" s="2">
        <v>0</v>
      </c>
      <c r="DF97" s="2">
        <v>0</v>
      </c>
    </row>
    <row r="98" spans="1:110" ht="34" x14ac:dyDescent="0.2">
      <c r="A98" s="2" t="s">
        <v>102</v>
      </c>
      <c r="B98" s="2" t="s">
        <v>80</v>
      </c>
      <c r="D98" s="2" t="s">
        <v>59</v>
      </c>
      <c r="E98" s="2" t="str">
        <f t="shared" si="18"/>
        <v>Holzschnitzel Nadelholz ab Wald  - RER</v>
      </c>
      <c r="F98" s="2" t="s">
        <v>89</v>
      </c>
      <c r="G98" s="52" t="e">
        <f>'Auswertung Eingaben'!$M$4</f>
        <v>#N/A</v>
      </c>
      <c r="H98" s="52" t="s">
        <v>225</v>
      </c>
      <c r="I98" s="36">
        <v>1</v>
      </c>
      <c r="J98" s="36">
        <v>1</v>
      </c>
      <c r="K98" s="36">
        <v>1</v>
      </c>
      <c r="L98" s="2">
        <v>0</v>
      </c>
      <c r="M98" s="2">
        <v>0</v>
      </c>
      <c r="N98" s="2">
        <f>-HLOOKUP("m3 Rundholz/m3 Produkt",$I$2:$K$103,ROW()-1,FALSE)</f>
        <v>-1</v>
      </c>
      <c r="O98" s="2">
        <v>0</v>
      </c>
      <c r="P98" s="2">
        <v>0</v>
      </c>
      <c r="Q98" s="2">
        <v>0</v>
      </c>
      <c r="R98" s="2">
        <v>0</v>
      </c>
      <c r="S98" s="2">
        <v>0</v>
      </c>
      <c r="T98" s="2">
        <v>0</v>
      </c>
      <c r="U98" s="2">
        <v>0</v>
      </c>
      <c r="V98" s="2">
        <v>0</v>
      </c>
      <c r="W98" s="2">
        <v>0</v>
      </c>
      <c r="X98" s="2">
        <v>0</v>
      </c>
      <c r="Y98" s="2">
        <v>0</v>
      </c>
      <c r="Z98" s="2">
        <v>0</v>
      </c>
      <c r="AA98" s="2">
        <v>0</v>
      </c>
      <c r="AB98" s="2">
        <v>0</v>
      </c>
      <c r="AC98" s="2">
        <v>0</v>
      </c>
      <c r="AD98" s="2">
        <v>0</v>
      </c>
      <c r="AE98" s="2">
        <v>0</v>
      </c>
      <c r="AF98" s="2">
        <v>0</v>
      </c>
      <c r="AG98" s="2">
        <v>0</v>
      </c>
      <c r="AH98" s="2">
        <v>0</v>
      </c>
      <c r="AI98" s="2">
        <v>0</v>
      </c>
      <c r="AJ98" s="2">
        <v>0</v>
      </c>
      <c r="AK98" s="2">
        <v>0</v>
      </c>
      <c r="AL98" s="2">
        <v>0</v>
      </c>
      <c r="AM98" s="2">
        <v>0</v>
      </c>
      <c r="AN98" s="37">
        <v>0</v>
      </c>
      <c r="AO98" s="2">
        <v>0</v>
      </c>
      <c r="AP98" s="2">
        <v>0</v>
      </c>
      <c r="AQ98" s="2">
        <v>0</v>
      </c>
      <c r="AR98" s="2">
        <v>0</v>
      </c>
      <c r="AS98" s="2">
        <v>0</v>
      </c>
      <c r="AT98" s="2">
        <v>0</v>
      </c>
      <c r="AU98" s="2">
        <v>0</v>
      </c>
      <c r="AV98" s="2">
        <v>0</v>
      </c>
      <c r="AW98" s="2">
        <v>0</v>
      </c>
      <c r="AX98" s="2">
        <v>0</v>
      </c>
      <c r="AY98" s="2">
        <v>0</v>
      </c>
      <c r="AZ98" s="2">
        <v>0</v>
      </c>
      <c r="BA98" s="2">
        <v>0</v>
      </c>
      <c r="BB98" s="2">
        <v>0</v>
      </c>
      <c r="BC98" s="2">
        <v>0</v>
      </c>
      <c r="BD98" s="2">
        <v>0</v>
      </c>
      <c r="BE98" s="2">
        <v>0</v>
      </c>
      <c r="BF98" s="2">
        <v>0</v>
      </c>
      <c r="BG98" s="2">
        <v>0</v>
      </c>
      <c r="BH98" s="2">
        <v>0</v>
      </c>
      <c r="BI98" s="2">
        <v>0</v>
      </c>
      <c r="BJ98" s="2">
        <v>0</v>
      </c>
      <c r="BK98" s="2">
        <v>0</v>
      </c>
      <c r="BL98" s="2">
        <v>0</v>
      </c>
      <c r="BM98" s="2">
        <v>0</v>
      </c>
      <c r="BN98" s="2">
        <v>0</v>
      </c>
      <c r="BO98" s="2">
        <v>0</v>
      </c>
      <c r="BP98" s="2">
        <v>0</v>
      </c>
      <c r="BQ98" s="2">
        <v>0</v>
      </c>
      <c r="BR98" s="2">
        <v>0</v>
      </c>
      <c r="BS98" s="2">
        <v>0</v>
      </c>
      <c r="BT98" s="2">
        <v>0</v>
      </c>
      <c r="BU98" s="2">
        <v>0</v>
      </c>
      <c r="BV98" s="2">
        <v>0</v>
      </c>
      <c r="BW98" s="2">
        <v>0</v>
      </c>
      <c r="BX98" s="2">
        <v>0</v>
      </c>
      <c r="BY98" s="2">
        <v>0</v>
      </c>
      <c r="BZ98" s="2">
        <v>0</v>
      </c>
      <c r="CA98" s="2">
        <v>0</v>
      </c>
      <c r="CB98" s="2">
        <v>0</v>
      </c>
      <c r="CC98" s="2">
        <v>0</v>
      </c>
      <c r="CD98" s="2">
        <v>0</v>
      </c>
      <c r="CE98" s="2">
        <v>0</v>
      </c>
      <c r="CF98" s="2">
        <v>0</v>
      </c>
      <c r="CG98" s="2">
        <v>0</v>
      </c>
      <c r="CH98" s="2">
        <v>0</v>
      </c>
      <c r="CI98" s="2">
        <v>0</v>
      </c>
      <c r="CJ98" s="2">
        <v>0</v>
      </c>
      <c r="CK98" s="2">
        <v>0</v>
      </c>
      <c r="CL98" s="2">
        <v>0</v>
      </c>
      <c r="CM98" s="2">
        <v>0</v>
      </c>
      <c r="CN98" s="2">
        <v>0</v>
      </c>
      <c r="CO98" s="2">
        <v>0</v>
      </c>
      <c r="CP98" s="2">
        <v>0</v>
      </c>
      <c r="CQ98" s="2">
        <v>0</v>
      </c>
      <c r="CR98" s="2">
        <v>0</v>
      </c>
      <c r="CS98" s="2">
        <v>0</v>
      </c>
      <c r="CT98" s="2">
        <v>0</v>
      </c>
      <c r="CU98" s="2">
        <v>0</v>
      </c>
      <c r="CV98" s="2">
        <v>0</v>
      </c>
      <c r="CW98" s="2">
        <v>0</v>
      </c>
      <c r="CX98" s="2">
        <v>0</v>
      </c>
      <c r="CY98" s="2">
        <v>0</v>
      </c>
      <c r="CZ98" s="2" t="e">
        <f>1000*'Auswertung Eingaben'!$N$4</f>
        <v>#N/A</v>
      </c>
      <c r="DA98" s="2">
        <v>0</v>
      </c>
      <c r="DB98" s="2">
        <v>0</v>
      </c>
      <c r="DC98" s="2">
        <v>0</v>
      </c>
      <c r="DD98" s="2">
        <v>0</v>
      </c>
      <c r="DE98" s="2">
        <v>0</v>
      </c>
      <c r="DF98" s="2">
        <v>0</v>
      </c>
    </row>
    <row r="99" spans="1:110" ht="34" x14ac:dyDescent="0.2">
      <c r="A99" s="2" t="s">
        <v>102</v>
      </c>
      <c r="B99" s="2" t="s">
        <v>82</v>
      </c>
      <c r="D99" s="2" t="s">
        <v>59</v>
      </c>
      <c r="E99" s="2" t="str">
        <f t="shared" si="18"/>
        <v>Holzschnitzel Nadelholz ab Sägewerk  - RER</v>
      </c>
      <c r="F99" s="2" t="s">
        <v>89</v>
      </c>
      <c r="G99" s="52" t="e">
        <f>'Auswertung Eingaben'!$M$4</f>
        <v>#N/A</v>
      </c>
      <c r="H99" s="52" t="s">
        <v>223</v>
      </c>
      <c r="I99" s="36">
        <v>1</v>
      </c>
      <c r="J99" s="36">
        <v>1</v>
      </c>
      <c r="K99" s="36">
        <v>1</v>
      </c>
      <c r="L99" s="2">
        <v>0</v>
      </c>
      <c r="M99" s="2">
        <v>0</v>
      </c>
      <c r="N99" s="2">
        <v>0</v>
      </c>
      <c r="O99" s="2">
        <f>-HLOOKUP("m3 Rundholz/m3 Produkt",$I$2:$K$103,ROW()-1,FALSE)</f>
        <v>-1</v>
      </c>
      <c r="P99" s="2">
        <v>0</v>
      </c>
      <c r="Q99" s="2">
        <v>0</v>
      </c>
      <c r="R99" s="2">
        <v>0</v>
      </c>
      <c r="S99" s="2">
        <v>0</v>
      </c>
      <c r="T99" s="2">
        <v>0</v>
      </c>
      <c r="U99" s="2">
        <v>0</v>
      </c>
      <c r="V99" s="2">
        <v>0</v>
      </c>
      <c r="W99" s="2">
        <v>0</v>
      </c>
      <c r="X99" s="2">
        <v>0</v>
      </c>
      <c r="Y99" s="2">
        <v>0</v>
      </c>
      <c r="Z99" s="2">
        <v>0</v>
      </c>
      <c r="AA99" s="2">
        <v>0</v>
      </c>
      <c r="AB99" s="2">
        <v>0</v>
      </c>
      <c r="AC99" s="2">
        <v>0</v>
      </c>
      <c r="AD99" s="2">
        <v>0</v>
      </c>
      <c r="AE99" s="2">
        <v>0</v>
      </c>
      <c r="AF99" s="2">
        <v>0</v>
      </c>
      <c r="AG99" s="2">
        <v>0</v>
      </c>
      <c r="AH99" s="2">
        <v>0</v>
      </c>
      <c r="AI99" s="2">
        <v>0</v>
      </c>
      <c r="AJ99" s="2">
        <v>0</v>
      </c>
      <c r="AK99" s="2">
        <v>0</v>
      </c>
      <c r="AL99" s="2">
        <v>0</v>
      </c>
      <c r="AM99" s="2">
        <v>0</v>
      </c>
      <c r="AN99" s="37">
        <v>0</v>
      </c>
      <c r="AO99" s="2">
        <v>0</v>
      </c>
      <c r="AP99" s="2">
        <v>0</v>
      </c>
      <c r="AQ99" s="2">
        <v>0</v>
      </c>
      <c r="AR99" s="2">
        <v>0</v>
      </c>
      <c r="AS99" s="2">
        <v>0</v>
      </c>
      <c r="AT99" s="2">
        <v>0</v>
      </c>
      <c r="AU99" s="2">
        <v>0</v>
      </c>
      <c r="AV99" s="2">
        <v>0</v>
      </c>
      <c r="AW99" s="2">
        <v>0</v>
      </c>
      <c r="AX99" s="2">
        <v>0</v>
      </c>
      <c r="AY99" s="2">
        <v>0</v>
      </c>
      <c r="AZ99" s="2">
        <v>0</v>
      </c>
      <c r="BA99" s="2">
        <v>0</v>
      </c>
      <c r="BB99" s="2">
        <v>0</v>
      </c>
      <c r="BC99" s="2">
        <v>0</v>
      </c>
      <c r="BD99" s="2">
        <v>0</v>
      </c>
      <c r="BE99" s="2">
        <v>0</v>
      </c>
      <c r="BF99" s="2">
        <v>0</v>
      </c>
      <c r="BG99" s="2">
        <v>0</v>
      </c>
      <c r="BH99" s="2">
        <v>0</v>
      </c>
      <c r="BI99" s="2">
        <v>0</v>
      </c>
      <c r="BJ99" s="2">
        <v>0</v>
      </c>
      <c r="BK99" s="2">
        <v>0</v>
      </c>
      <c r="BL99" s="2">
        <v>0</v>
      </c>
      <c r="BM99" s="2">
        <v>0</v>
      </c>
      <c r="BN99" s="2">
        <v>0</v>
      </c>
      <c r="BO99" s="2">
        <v>0</v>
      </c>
      <c r="BP99" s="2">
        <v>0</v>
      </c>
      <c r="BQ99" s="2">
        <v>0</v>
      </c>
      <c r="BR99" s="2">
        <v>0</v>
      </c>
      <c r="BS99" s="2">
        <v>0</v>
      </c>
      <c r="BT99" s="2">
        <v>0</v>
      </c>
      <c r="BU99" s="2">
        <v>0</v>
      </c>
      <c r="BV99" s="2">
        <v>0</v>
      </c>
      <c r="BW99" s="2">
        <v>0</v>
      </c>
      <c r="BX99" s="2">
        <v>0</v>
      </c>
      <c r="BY99" s="2">
        <v>0</v>
      </c>
      <c r="BZ99" s="2">
        <v>0</v>
      </c>
      <c r="CA99" s="2">
        <v>0</v>
      </c>
      <c r="CB99" s="2">
        <v>0</v>
      </c>
      <c r="CC99" s="2">
        <v>0</v>
      </c>
      <c r="CD99" s="2">
        <v>0</v>
      </c>
      <c r="CE99" s="2">
        <v>0</v>
      </c>
      <c r="CF99" s="2">
        <v>0</v>
      </c>
      <c r="CG99" s="2">
        <v>0</v>
      </c>
      <c r="CH99" s="2">
        <v>0</v>
      </c>
      <c r="CI99" s="2">
        <v>0</v>
      </c>
      <c r="CJ99" s="2">
        <v>0</v>
      </c>
      <c r="CK99" s="2">
        <v>0</v>
      </c>
      <c r="CL99" s="2">
        <v>0</v>
      </c>
      <c r="CM99" s="2">
        <v>0</v>
      </c>
      <c r="CN99" s="2">
        <v>0</v>
      </c>
      <c r="CO99" s="2">
        <v>0</v>
      </c>
      <c r="CP99" s="2">
        <v>0</v>
      </c>
      <c r="CQ99" s="2">
        <v>0</v>
      </c>
      <c r="CR99" s="2">
        <v>0</v>
      </c>
      <c r="CS99" s="2">
        <v>0</v>
      </c>
      <c r="CT99" s="2">
        <v>0</v>
      </c>
      <c r="CU99" s="2">
        <v>0</v>
      </c>
      <c r="CV99" s="2">
        <v>0</v>
      </c>
      <c r="CW99" s="2">
        <v>0</v>
      </c>
      <c r="CX99" s="2" t="e">
        <f>1000*'Auswertung Eingaben'!$N$4</f>
        <v>#N/A</v>
      </c>
      <c r="CY99" s="2">
        <v>0</v>
      </c>
      <c r="CZ99" s="2">
        <v>0</v>
      </c>
      <c r="DA99" s="2">
        <v>0</v>
      </c>
      <c r="DB99" s="2">
        <v>0</v>
      </c>
      <c r="DC99" s="2">
        <v>0</v>
      </c>
      <c r="DD99" s="2">
        <v>0</v>
      </c>
      <c r="DE99" s="2">
        <v>0</v>
      </c>
      <c r="DF99" s="2">
        <v>0</v>
      </c>
    </row>
    <row r="100" spans="1:110" ht="51" x14ac:dyDescent="0.2">
      <c r="A100" s="2" t="s">
        <v>102</v>
      </c>
      <c r="B100" s="2" t="s">
        <v>396</v>
      </c>
      <c r="D100" s="2" t="s">
        <v>59</v>
      </c>
      <c r="E100" s="2" t="str">
        <f t="shared" si="18"/>
        <v>Holzschnitzel Gemischt ab Wald (50% Laub- / 50% Nadelholz)  - RER</v>
      </c>
      <c r="F100" s="2" t="s">
        <v>226</v>
      </c>
      <c r="G100" s="52" t="e">
        <f>'Auswertung Eingaben'!$M$4</f>
        <v>#N/A</v>
      </c>
      <c r="H100" s="52" t="s">
        <v>229</v>
      </c>
      <c r="I100" s="36">
        <v>1</v>
      </c>
      <c r="J100" s="36">
        <v>1</v>
      </c>
      <c r="K100" s="36">
        <v>1</v>
      </c>
      <c r="L100" s="2">
        <v>0</v>
      </c>
      <c r="M100" s="2">
        <f>-HLOOKUP("m3 Rundholz/m3 Produkt",$I$2:$K$103,ROW()-1,FALSE)</f>
        <v>-1</v>
      </c>
      <c r="N100" s="2">
        <v>0</v>
      </c>
      <c r="O100" s="2">
        <v>0</v>
      </c>
      <c r="P100" s="2">
        <v>0</v>
      </c>
      <c r="Q100" s="2">
        <v>0</v>
      </c>
      <c r="R100" s="2">
        <v>0</v>
      </c>
      <c r="S100" s="2">
        <v>0</v>
      </c>
      <c r="T100" s="2">
        <v>0</v>
      </c>
      <c r="U100" s="2">
        <v>0</v>
      </c>
      <c r="V100" s="2">
        <v>0</v>
      </c>
      <c r="W100" s="2">
        <v>0</v>
      </c>
      <c r="X100" s="2">
        <v>0</v>
      </c>
      <c r="Y100" s="2">
        <v>0</v>
      </c>
      <c r="Z100" s="2">
        <v>0</v>
      </c>
      <c r="AA100" s="2">
        <v>0</v>
      </c>
      <c r="AB100" s="2">
        <v>0</v>
      </c>
      <c r="AC100" s="2">
        <v>0</v>
      </c>
      <c r="AD100" s="2">
        <v>0</v>
      </c>
      <c r="AE100" s="2">
        <v>0</v>
      </c>
      <c r="AF100" s="2">
        <v>0</v>
      </c>
      <c r="AG100" s="2">
        <v>0</v>
      </c>
      <c r="AH100" s="2">
        <v>0</v>
      </c>
      <c r="AI100" s="2">
        <v>0</v>
      </c>
      <c r="AJ100" s="2">
        <v>0</v>
      </c>
      <c r="AK100" s="2">
        <v>0</v>
      </c>
      <c r="AL100" s="2">
        <v>0</v>
      </c>
      <c r="AM100" s="2">
        <v>0</v>
      </c>
      <c r="AN100" s="37">
        <v>0</v>
      </c>
      <c r="AO100" s="2">
        <v>0</v>
      </c>
      <c r="AP100" s="2">
        <v>0</v>
      </c>
      <c r="AQ100" s="2">
        <v>0</v>
      </c>
      <c r="AR100" s="2">
        <v>0</v>
      </c>
      <c r="AS100" s="2">
        <v>0</v>
      </c>
      <c r="AT100" s="2">
        <v>0</v>
      </c>
      <c r="AU100" s="2">
        <v>0</v>
      </c>
      <c r="AV100" s="2">
        <v>0</v>
      </c>
      <c r="AW100" s="2">
        <v>0</v>
      </c>
      <c r="AX100" s="2">
        <v>0</v>
      </c>
      <c r="AY100" s="2">
        <v>0</v>
      </c>
      <c r="AZ100" s="2">
        <v>0</v>
      </c>
      <c r="BA100" s="2">
        <v>0</v>
      </c>
      <c r="BB100" s="2">
        <v>0</v>
      </c>
      <c r="BC100" s="2">
        <v>0</v>
      </c>
      <c r="BD100" s="2">
        <v>0</v>
      </c>
      <c r="BE100" s="2">
        <v>0</v>
      </c>
      <c r="BF100" s="2">
        <v>0</v>
      </c>
      <c r="BG100" s="2">
        <v>0</v>
      </c>
      <c r="BH100" s="2">
        <v>0</v>
      </c>
      <c r="BI100" s="2">
        <v>0</v>
      </c>
      <c r="BJ100" s="2">
        <v>0</v>
      </c>
      <c r="BK100" s="2">
        <v>0</v>
      </c>
      <c r="BL100" s="2">
        <v>0</v>
      </c>
      <c r="BM100" s="2">
        <v>0</v>
      </c>
      <c r="BN100" s="2">
        <v>0</v>
      </c>
      <c r="BO100" s="2">
        <v>0</v>
      </c>
      <c r="BP100" s="2">
        <v>0</v>
      </c>
      <c r="BQ100" s="2">
        <v>0</v>
      </c>
      <c r="BR100" s="2">
        <v>0</v>
      </c>
      <c r="BS100" s="2">
        <v>0</v>
      </c>
      <c r="BT100" s="2">
        <v>0</v>
      </c>
      <c r="BU100" s="2">
        <v>0</v>
      </c>
      <c r="BV100" s="2">
        <v>0</v>
      </c>
      <c r="BW100" s="2">
        <v>0</v>
      </c>
      <c r="BX100" s="2">
        <v>0</v>
      </c>
      <c r="BY100" s="2">
        <v>0</v>
      </c>
      <c r="BZ100" s="2">
        <v>0</v>
      </c>
      <c r="CA100" s="2">
        <v>0</v>
      </c>
      <c r="CB100" s="2">
        <v>0</v>
      </c>
      <c r="CC100" s="2">
        <v>0</v>
      </c>
      <c r="CD100" s="2">
        <v>0</v>
      </c>
      <c r="CE100" s="2">
        <v>0</v>
      </c>
      <c r="CF100" s="2">
        <v>0</v>
      </c>
      <c r="CG100" s="2">
        <v>0</v>
      </c>
      <c r="CH100" s="2">
        <v>0</v>
      </c>
      <c r="CI100" s="2">
        <v>0</v>
      </c>
      <c r="CJ100" s="2">
        <v>0</v>
      </c>
      <c r="CK100" s="2">
        <v>0</v>
      </c>
      <c r="CL100" s="2">
        <v>0</v>
      </c>
      <c r="CM100" s="2">
        <v>0</v>
      </c>
      <c r="CN100" s="2">
        <v>0</v>
      </c>
      <c r="CO100" s="2">
        <v>0</v>
      </c>
      <c r="CP100" s="2">
        <v>0</v>
      </c>
      <c r="CQ100" s="2">
        <v>0</v>
      </c>
      <c r="CR100" s="2">
        <v>0</v>
      </c>
      <c r="CS100" s="2">
        <v>0</v>
      </c>
      <c r="CT100" s="2">
        <v>0</v>
      </c>
      <c r="CU100" s="2" t="e">
        <f>1000*'Auswertung Eingaben'!$O$4*Transportdaten!$R$12</f>
        <v>#N/A</v>
      </c>
      <c r="CV100" s="2">
        <v>0</v>
      </c>
      <c r="CW100" s="2">
        <v>0</v>
      </c>
      <c r="CX100" s="2">
        <v>0</v>
      </c>
      <c r="CY100" s="2">
        <v>0</v>
      </c>
      <c r="CZ100" s="2" t="e">
        <f>1000*'Auswertung Eingaben'!$N$4*(1-Transportdaten!$R$12)</f>
        <v>#N/A</v>
      </c>
      <c r="DA100" s="2">
        <v>0</v>
      </c>
      <c r="DB100" s="2">
        <v>0</v>
      </c>
      <c r="DC100" s="2">
        <v>0</v>
      </c>
      <c r="DD100" s="2">
        <v>0</v>
      </c>
      <c r="DE100" s="2">
        <v>0</v>
      </c>
      <c r="DF100" s="2">
        <v>0</v>
      </c>
    </row>
    <row r="101" spans="1:110" ht="68" x14ac:dyDescent="0.2">
      <c r="A101" s="2" t="s">
        <v>102</v>
      </c>
      <c r="B101" s="2" t="s">
        <v>397</v>
      </c>
      <c r="D101" s="2" t="s">
        <v>59</v>
      </c>
      <c r="E101" s="2" t="str">
        <f t="shared" si="18"/>
        <v>Holzschnitzel Gemischt ab Sägewerk (50% Laub- / 50% Nadelholz)  - RER</v>
      </c>
      <c r="F101" s="2" t="s">
        <v>226</v>
      </c>
      <c r="G101" s="52" t="e">
        <f>'Auswertung Eingaben'!$M$4</f>
        <v>#N/A</v>
      </c>
      <c r="H101" s="52" t="s">
        <v>231</v>
      </c>
      <c r="I101" s="36">
        <v>1</v>
      </c>
      <c r="J101" s="36">
        <v>1</v>
      </c>
      <c r="K101" s="36">
        <v>1</v>
      </c>
      <c r="L101" s="2">
        <v>0</v>
      </c>
      <c r="M101" s="2">
        <f>-HLOOKUP("m3 Rundholz/m3 Produkt",$I$2:$K$103,ROW()-1,FALSE)</f>
        <v>-1</v>
      </c>
      <c r="N101" s="2">
        <v>0</v>
      </c>
      <c r="O101" s="2">
        <v>0</v>
      </c>
      <c r="P101" s="2">
        <v>0</v>
      </c>
      <c r="Q101" s="2">
        <v>0</v>
      </c>
      <c r="R101" s="2">
        <v>0</v>
      </c>
      <c r="S101" s="2">
        <v>0</v>
      </c>
      <c r="T101" s="2">
        <v>0</v>
      </c>
      <c r="U101" s="2">
        <v>0</v>
      </c>
      <c r="V101" s="2">
        <v>0</v>
      </c>
      <c r="W101" s="2">
        <v>0</v>
      </c>
      <c r="X101" s="2">
        <v>0</v>
      </c>
      <c r="Y101" s="2">
        <v>0</v>
      </c>
      <c r="Z101" s="2">
        <v>0</v>
      </c>
      <c r="AA101" s="2">
        <v>0</v>
      </c>
      <c r="AB101" s="2">
        <v>0</v>
      </c>
      <c r="AC101" s="2">
        <v>0</v>
      </c>
      <c r="AD101" s="2">
        <v>0</v>
      </c>
      <c r="AE101" s="2">
        <v>0</v>
      </c>
      <c r="AF101" s="2">
        <v>0</v>
      </c>
      <c r="AG101" s="2">
        <v>0</v>
      </c>
      <c r="AH101" s="2">
        <v>0</v>
      </c>
      <c r="AI101" s="2">
        <v>0</v>
      </c>
      <c r="AJ101" s="2">
        <v>0</v>
      </c>
      <c r="AK101" s="2">
        <v>0</v>
      </c>
      <c r="AL101" s="2">
        <v>0</v>
      </c>
      <c r="AM101" s="2">
        <v>0</v>
      </c>
      <c r="AN101" s="37">
        <v>0</v>
      </c>
      <c r="AO101" s="2">
        <v>0</v>
      </c>
      <c r="AP101" s="2">
        <v>0</v>
      </c>
      <c r="AQ101" s="2">
        <v>0</v>
      </c>
      <c r="AR101" s="2">
        <v>0</v>
      </c>
      <c r="AS101" s="2">
        <v>0</v>
      </c>
      <c r="AT101" s="2">
        <v>0</v>
      </c>
      <c r="AU101" s="2">
        <v>0</v>
      </c>
      <c r="AV101" s="2">
        <v>0</v>
      </c>
      <c r="AW101" s="2">
        <v>0</v>
      </c>
      <c r="AX101" s="2">
        <v>0</v>
      </c>
      <c r="AY101" s="2">
        <v>0</v>
      </c>
      <c r="AZ101" s="2">
        <v>0</v>
      </c>
      <c r="BA101" s="2">
        <v>0</v>
      </c>
      <c r="BB101" s="2">
        <v>0</v>
      </c>
      <c r="BC101" s="2">
        <v>0</v>
      </c>
      <c r="BD101" s="2">
        <v>0</v>
      </c>
      <c r="BE101" s="2">
        <v>0</v>
      </c>
      <c r="BF101" s="2">
        <v>0</v>
      </c>
      <c r="BG101" s="2">
        <v>0</v>
      </c>
      <c r="BH101" s="2">
        <v>0</v>
      </c>
      <c r="BI101" s="2">
        <v>0</v>
      </c>
      <c r="BJ101" s="2">
        <v>0</v>
      </c>
      <c r="BK101" s="2">
        <v>0</v>
      </c>
      <c r="BL101" s="2">
        <v>0</v>
      </c>
      <c r="BM101" s="2">
        <v>0</v>
      </c>
      <c r="BN101" s="2">
        <v>0</v>
      </c>
      <c r="BO101" s="2">
        <v>0</v>
      </c>
      <c r="BP101" s="2">
        <v>0</v>
      </c>
      <c r="BQ101" s="2">
        <v>0</v>
      </c>
      <c r="BR101" s="2">
        <v>0</v>
      </c>
      <c r="BS101" s="2">
        <v>0</v>
      </c>
      <c r="BT101" s="2">
        <v>0</v>
      </c>
      <c r="BU101" s="2">
        <v>0</v>
      </c>
      <c r="BV101" s="2">
        <v>0</v>
      </c>
      <c r="BW101" s="2">
        <v>0</v>
      </c>
      <c r="BX101" s="2">
        <v>0</v>
      </c>
      <c r="BY101" s="2">
        <v>0</v>
      </c>
      <c r="BZ101" s="2">
        <v>0</v>
      </c>
      <c r="CA101" s="2">
        <v>0</v>
      </c>
      <c r="CB101" s="2">
        <v>0</v>
      </c>
      <c r="CC101" s="2">
        <v>0</v>
      </c>
      <c r="CD101" s="2">
        <v>0</v>
      </c>
      <c r="CE101" s="2">
        <v>0</v>
      </c>
      <c r="CF101" s="2">
        <v>0</v>
      </c>
      <c r="CG101" s="2">
        <v>0</v>
      </c>
      <c r="CH101" s="2">
        <v>0</v>
      </c>
      <c r="CI101" s="2">
        <v>0</v>
      </c>
      <c r="CJ101" s="2">
        <v>0</v>
      </c>
      <c r="CK101" s="2">
        <v>0</v>
      </c>
      <c r="CL101" s="2">
        <v>0</v>
      </c>
      <c r="CM101" s="2">
        <v>0</v>
      </c>
      <c r="CN101" s="2">
        <v>0</v>
      </c>
      <c r="CO101" s="2">
        <v>0</v>
      </c>
      <c r="CP101" s="2">
        <v>0</v>
      </c>
      <c r="CQ101" s="2">
        <v>0</v>
      </c>
      <c r="CR101" s="2">
        <v>0</v>
      </c>
      <c r="CS101" s="2">
        <v>0</v>
      </c>
      <c r="CT101" s="2">
        <v>0</v>
      </c>
      <c r="CU101" s="2">
        <v>0</v>
      </c>
      <c r="CV101" s="2" t="e">
        <f>1000*'Auswertung Eingaben'!$O$4</f>
        <v>#N/A</v>
      </c>
      <c r="CW101" s="2">
        <v>0</v>
      </c>
      <c r="CX101" s="2">
        <v>0</v>
      </c>
      <c r="CY101" s="2">
        <v>0</v>
      </c>
      <c r="CZ101" s="2">
        <v>0</v>
      </c>
      <c r="DA101" s="2">
        <v>0</v>
      </c>
      <c r="DB101" s="2">
        <v>0</v>
      </c>
      <c r="DC101" s="2">
        <v>0</v>
      </c>
      <c r="DD101" s="2">
        <v>0</v>
      </c>
      <c r="DE101" s="2">
        <v>0</v>
      </c>
      <c r="DF101" s="2">
        <v>0</v>
      </c>
    </row>
    <row r="102" spans="1:110" ht="34" x14ac:dyDescent="0.2">
      <c r="A102" s="2" t="s">
        <v>101</v>
      </c>
      <c r="D102" s="2" t="s">
        <v>58</v>
      </c>
      <c r="E102" s="2" t="str">
        <f t="shared" si="18"/>
        <v>Holzpellets   - CH</v>
      </c>
      <c r="F102" s="2" t="s">
        <v>226</v>
      </c>
      <c r="G102" s="2">
        <f>HLOOKUP($H102,'LCIA Daten manuell'!$A$1:$CU$3,3,FALSE)/1000</f>
        <v>0.68</v>
      </c>
      <c r="H102" s="55" t="str">
        <f>'LCIA Daten manuell'!CJ$1</f>
        <v>wood pellet, measured as dry mass, at plant - RER</v>
      </c>
      <c r="I102" s="36">
        <v>1</v>
      </c>
      <c r="J102" s="36">
        <v>1</v>
      </c>
      <c r="K102" s="36">
        <v>1</v>
      </c>
      <c r="L102" s="2">
        <v>0</v>
      </c>
      <c r="M102" s="2">
        <v>0</v>
      </c>
      <c r="N102" s="2">
        <v>0</v>
      </c>
      <c r="O102" s="2">
        <v>0</v>
      </c>
      <c r="P102" s="2">
        <v>0</v>
      </c>
      <c r="Q102" s="2">
        <v>0</v>
      </c>
      <c r="R102" s="2">
        <v>0</v>
      </c>
      <c r="S102" s="2">
        <v>0</v>
      </c>
      <c r="T102" s="2">
        <v>0</v>
      </c>
      <c r="U102" s="2">
        <v>0</v>
      </c>
      <c r="V102" s="2">
        <v>0</v>
      </c>
      <c r="W102" s="2">
        <v>0</v>
      </c>
      <c r="X102" s="2">
        <v>0</v>
      </c>
      <c r="Y102" s="2">
        <v>0</v>
      </c>
      <c r="Z102" s="2">
        <v>0</v>
      </c>
      <c r="AA102" s="2">
        <v>0</v>
      </c>
      <c r="AB102" s="2">
        <v>0</v>
      </c>
      <c r="AC102" s="2">
        <v>0</v>
      </c>
      <c r="AD102" s="2">
        <v>0</v>
      </c>
      <c r="AE102" s="2">
        <v>0</v>
      </c>
      <c r="AF102" s="2">
        <v>0</v>
      </c>
      <c r="AG102" s="2">
        <v>0</v>
      </c>
      <c r="AH102" s="2">
        <v>0</v>
      </c>
      <c r="AI102" s="2">
        <v>0</v>
      </c>
      <c r="AJ102" s="2">
        <v>0</v>
      </c>
      <c r="AK102" s="2">
        <v>0</v>
      </c>
      <c r="AL102" s="2">
        <v>0</v>
      </c>
      <c r="AM102" s="2">
        <v>0</v>
      </c>
      <c r="AN102" s="37">
        <v>0</v>
      </c>
      <c r="AO102" s="2">
        <v>0</v>
      </c>
      <c r="AP102" s="2">
        <v>0</v>
      </c>
      <c r="AQ102" s="2">
        <v>0</v>
      </c>
      <c r="AR102" s="2">
        <v>0</v>
      </c>
      <c r="AS102" s="2">
        <v>0</v>
      </c>
      <c r="AT102" s="2">
        <v>0</v>
      </c>
      <c r="AU102" s="2">
        <v>0</v>
      </c>
      <c r="AV102" s="2">
        <v>0</v>
      </c>
      <c r="AW102" s="2">
        <v>0</v>
      </c>
      <c r="AX102" s="2">
        <v>0</v>
      </c>
      <c r="AY102" s="2">
        <v>0</v>
      </c>
      <c r="AZ102" s="2">
        <v>0</v>
      </c>
      <c r="BA102" s="2">
        <v>0</v>
      </c>
      <c r="BB102" s="2">
        <v>0</v>
      </c>
      <c r="BC102" s="2">
        <v>0</v>
      </c>
      <c r="BD102" s="2">
        <v>0</v>
      </c>
      <c r="BE102" s="2">
        <v>0</v>
      </c>
      <c r="BF102" s="2">
        <v>0</v>
      </c>
      <c r="BG102" s="2">
        <v>0</v>
      </c>
      <c r="BH102" s="2">
        <v>0</v>
      </c>
      <c r="BI102" s="2">
        <v>0</v>
      </c>
      <c r="BJ102" s="2">
        <v>0</v>
      </c>
      <c r="BK102" s="2">
        <v>0</v>
      </c>
      <c r="BL102" s="2">
        <v>0</v>
      </c>
      <c r="BM102" s="2">
        <v>0</v>
      </c>
      <c r="BN102" s="2">
        <v>0</v>
      </c>
      <c r="BO102" s="2">
        <v>0</v>
      </c>
      <c r="BP102" s="2">
        <v>0</v>
      </c>
      <c r="BQ102" s="2">
        <v>0</v>
      </c>
      <c r="BR102" s="2">
        <v>0</v>
      </c>
      <c r="BS102" s="2">
        <v>0</v>
      </c>
      <c r="BT102" s="2">
        <v>0</v>
      </c>
      <c r="BU102" s="2">
        <v>0</v>
      </c>
      <c r="BV102" s="2">
        <v>0</v>
      </c>
      <c r="BW102" s="2">
        <v>0</v>
      </c>
      <c r="BX102" s="2">
        <v>0</v>
      </c>
      <c r="BY102" s="2">
        <v>0</v>
      </c>
      <c r="BZ102" s="2">
        <v>0</v>
      </c>
      <c r="CA102" s="2">
        <v>0</v>
      </c>
      <c r="CB102" s="2">
        <v>0</v>
      </c>
      <c r="CC102" s="2">
        <v>0</v>
      </c>
      <c r="CD102" s="2">
        <v>0</v>
      </c>
      <c r="CE102" s="2">
        <v>0</v>
      </c>
      <c r="CF102" s="2">
        <v>0</v>
      </c>
      <c r="CG102" s="2">
        <v>0</v>
      </c>
      <c r="CH102" s="2">
        <v>0</v>
      </c>
      <c r="CI102" s="2">
        <v>0</v>
      </c>
      <c r="CJ102" s="2">
        <v>0</v>
      </c>
      <c r="CK102" s="2">
        <v>0</v>
      </c>
      <c r="CL102" s="2">
        <v>0</v>
      </c>
      <c r="CM102" s="2">
        <v>0</v>
      </c>
      <c r="CN102" s="2">
        <v>0</v>
      </c>
      <c r="CO102" s="2">
        <v>0</v>
      </c>
      <c r="CP102" s="2">
        <v>0</v>
      </c>
      <c r="CQ102" s="2">
        <v>0</v>
      </c>
      <c r="CR102" s="2">
        <v>0</v>
      </c>
      <c r="CS102" s="2">
        <v>0</v>
      </c>
      <c r="CT102" s="2">
        <f>$G102*1000</f>
        <v>680</v>
      </c>
      <c r="CU102" s="2">
        <v>0</v>
      </c>
      <c r="CV102" s="2">
        <v>0</v>
      </c>
      <c r="CW102" s="2">
        <v>0</v>
      </c>
      <c r="CX102" s="2">
        <v>0</v>
      </c>
      <c r="CY102" s="2">
        <v>0</v>
      </c>
      <c r="CZ102" s="2">
        <v>0</v>
      </c>
      <c r="DA102" s="2">
        <v>0</v>
      </c>
      <c r="DB102" s="2">
        <v>0</v>
      </c>
      <c r="DC102" s="2">
        <v>0</v>
      </c>
      <c r="DD102" s="2">
        <v>0</v>
      </c>
      <c r="DE102" s="2">
        <v>0</v>
      </c>
      <c r="DF102" s="2">
        <v>0</v>
      </c>
    </row>
    <row r="103" spans="1:110" ht="34" x14ac:dyDescent="0.2">
      <c r="A103" s="2" t="s">
        <v>101</v>
      </c>
      <c r="D103" s="2" t="s">
        <v>59</v>
      </c>
      <c r="E103" s="2" t="str">
        <f t="shared" si="18"/>
        <v>Holzpellets   - RER</v>
      </c>
      <c r="F103" s="2" t="s">
        <v>226</v>
      </c>
      <c r="G103" s="2">
        <f>HLOOKUP($H103,'LCIA Daten manuell'!$A$1:$CU$3,3,FALSE)/1000</f>
        <v>0.68</v>
      </c>
      <c r="H103" s="55" t="str">
        <f>'LCIA Daten manuell'!CJ$1</f>
        <v>wood pellet, measured as dry mass, at plant - RER</v>
      </c>
      <c r="I103" s="36">
        <v>1</v>
      </c>
      <c r="J103" s="36">
        <v>1</v>
      </c>
      <c r="K103" s="36">
        <v>1</v>
      </c>
      <c r="L103" s="2">
        <v>0</v>
      </c>
      <c r="M103" s="2">
        <v>0</v>
      </c>
      <c r="N103" s="2">
        <v>0</v>
      </c>
      <c r="O103" s="2">
        <v>0</v>
      </c>
      <c r="P103" s="2">
        <v>0</v>
      </c>
      <c r="Q103" s="2">
        <v>0</v>
      </c>
      <c r="R103" s="2">
        <v>0</v>
      </c>
      <c r="S103" s="2">
        <v>0</v>
      </c>
      <c r="T103" s="2">
        <v>0</v>
      </c>
      <c r="U103" s="2">
        <v>0</v>
      </c>
      <c r="V103" s="2">
        <v>0</v>
      </c>
      <c r="W103" s="2">
        <v>0</v>
      </c>
      <c r="X103" s="2">
        <v>0</v>
      </c>
      <c r="Y103" s="2">
        <v>0</v>
      </c>
      <c r="Z103" s="2">
        <v>0</v>
      </c>
      <c r="AA103" s="2">
        <v>0</v>
      </c>
      <c r="AB103" s="2">
        <v>0</v>
      </c>
      <c r="AC103" s="2">
        <v>0</v>
      </c>
      <c r="AD103" s="2">
        <v>0</v>
      </c>
      <c r="AE103" s="2">
        <v>0</v>
      </c>
      <c r="AF103" s="2">
        <v>0</v>
      </c>
      <c r="AG103" s="2">
        <v>0</v>
      </c>
      <c r="AH103" s="2">
        <v>0</v>
      </c>
      <c r="AI103" s="2">
        <v>0</v>
      </c>
      <c r="AJ103" s="2">
        <v>0</v>
      </c>
      <c r="AK103" s="2">
        <v>0</v>
      </c>
      <c r="AL103" s="2">
        <v>0</v>
      </c>
      <c r="AM103" s="2">
        <v>0</v>
      </c>
      <c r="AN103" s="2">
        <v>0</v>
      </c>
      <c r="AO103" s="2">
        <v>0</v>
      </c>
      <c r="AP103" s="2">
        <v>0</v>
      </c>
      <c r="AQ103" s="2">
        <v>0</v>
      </c>
      <c r="AR103" s="2">
        <v>0</v>
      </c>
      <c r="AS103" s="2">
        <v>0</v>
      </c>
      <c r="AT103" s="2">
        <v>0</v>
      </c>
      <c r="AU103" s="2">
        <v>0</v>
      </c>
      <c r="AV103" s="2">
        <v>0</v>
      </c>
      <c r="AW103" s="2">
        <v>0</v>
      </c>
      <c r="AX103" s="2">
        <v>0</v>
      </c>
      <c r="AY103" s="2">
        <v>0</v>
      </c>
      <c r="AZ103" s="2">
        <v>0</v>
      </c>
      <c r="BA103" s="2">
        <v>0</v>
      </c>
      <c r="BB103" s="2">
        <v>0</v>
      </c>
      <c r="BC103" s="2">
        <v>0</v>
      </c>
      <c r="BD103" s="2">
        <v>0</v>
      </c>
      <c r="BE103" s="2">
        <v>0</v>
      </c>
      <c r="BF103" s="2">
        <v>0</v>
      </c>
      <c r="BG103" s="2">
        <v>0</v>
      </c>
      <c r="BH103" s="2">
        <v>0</v>
      </c>
      <c r="BI103" s="2">
        <v>0</v>
      </c>
      <c r="BJ103" s="2">
        <v>0</v>
      </c>
      <c r="BK103" s="2">
        <v>0</v>
      </c>
      <c r="BL103" s="2">
        <v>0</v>
      </c>
      <c r="BM103" s="2">
        <v>0</v>
      </c>
      <c r="BN103" s="2">
        <v>0</v>
      </c>
      <c r="BO103" s="2">
        <v>0</v>
      </c>
      <c r="BP103" s="2">
        <v>0</v>
      </c>
      <c r="BQ103" s="2">
        <v>0</v>
      </c>
      <c r="BR103" s="2">
        <v>0</v>
      </c>
      <c r="BS103" s="2">
        <v>0</v>
      </c>
      <c r="BT103" s="2">
        <v>0</v>
      </c>
      <c r="BU103" s="2">
        <v>0</v>
      </c>
      <c r="BV103" s="2">
        <v>0</v>
      </c>
      <c r="BW103" s="2">
        <v>0</v>
      </c>
      <c r="BX103" s="2">
        <v>0</v>
      </c>
      <c r="BY103" s="2">
        <v>0</v>
      </c>
      <c r="BZ103" s="2">
        <v>0</v>
      </c>
      <c r="CA103" s="2">
        <v>0</v>
      </c>
      <c r="CB103" s="2">
        <v>0</v>
      </c>
      <c r="CC103" s="2">
        <v>0</v>
      </c>
      <c r="CD103" s="2">
        <v>0</v>
      </c>
      <c r="CE103" s="2">
        <v>0</v>
      </c>
      <c r="CF103" s="2">
        <v>0</v>
      </c>
      <c r="CG103" s="2">
        <v>0</v>
      </c>
      <c r="CH103" s="2">
        <v>0</v>
      </c>
      <c r="CI103" s="2">
        <v>0</v>
      </c>
      <c r="CJ103" s="2">
        <v>0</v>
      </c>
      <c r="CK103" s="2">
        <v>0</v>
      </c>
      <c r="CL103" s="2">
        <v>0</v>
      </c>
      <c r="CM103" s="2">
        <v>0</v>
      </c>
      <c r="CN103" s="2">
        <v>0</v>
      </c>
      <c r="CO103" s="2">
        <v>0</v>
      </c>
      <c r="CP103" s="2">
        <v>0</v>
      </c>
      <c r="CQ103" s="2">
        <v>0</v>
      </c>
      <c r="CR103" s="2">
        <v>0</v>
      </c>
      <c r="CS103" s="2">
        <v>0</v>
      </c>
      <c r="CT103" s="2">
        <f>$G103*1000</f>
        <v>680</v>
      </c>
      <c r="CU103" s="2">
        <v>0</v>
      </c>
      <c r="CV103" s="2">
        <v>0</v>
      </c>
      <c r="CW103" s="2">
        <v>0</v>
      </c>
      <c r="CX103" s="2">
        <v>0</v>
      </c>
      <c r="CY103" s="2">
        <v>0</v>
      </c>
      <c r="CZ103" s="2">
        <v>0</v>
      </c>
      <c r="DA103" s="2">
        <v>0</v>
      </c>
      <c r="DB103" s="2">
        <v>0</v>
      </c>
      <c r="DC103" s="2">
        <v>0</v>
      </c>
      <c r="DD103" s="2">
        <v>0</v>
      </c>
      <c r="DE103" s="2">
        <v>0</v>
      </c>
      <c r="DF103" s="2">
        <v>0</v>
      </c>
    </row>
    <row r="104" spans="1:110" ht="36" customHeight="1" x14ac:dyDescent="0.2">
      <c r="A104" s="2" t="s">
        <v>304</v>
      </c>
      <c r="B104" s="2" t="s">
        <v>371</v>
      </c>
      <c r="D104" s="2" t="s">
        <v>58</v>
      </c>
      <c r="E104" s="2" t="str">
        <f t="shared" si="18"/>
        <v>Lagenholz Brettsperrholz  - CH</v>
      </c>
      <c r="F104" s="2" t="s">
        <v>89</v>
      </c>
      <c r="G104" s="2">
        <f>HLOOKUP($H104,'LCIA Daten manuell'!$A$1:$CU$3,3,FALSE)/1000</f>
        <v>0.436</v>
      </c>
      <c r="H104" s="2" t="str">
        <f>INDEX(L$2:DG$2,1,MATCH(1,L104:DG104,0))</f>
        <v>Cross-laminted timber, average glue mix, at plant - RER</v>
      </c>
      <c r="I104" s="36">
        <f>I105</f>
        <v>2.1369039999999999</v>
      </c>
      <c r="J104" s="36">
        <f>J105</f>
        <v>1.4630000000000001</v>
      </c>
      <c r="K104" s="36">
        <v>1</v>
      </c>
      <c r="L104" s="2">
        <v>0</v>
      </c>
      <c r="M104" s="2">
        <v>0</v>
      </c>
      <c r="N104" s="2">
        <v>0</v>
      </c>
      <c r="O104" s="2">
        <f>O105</f>
        <v>-2.1369039999999999</v>
      </c>
      <c r="P104" s="2">
        <f>P105</f>
        <v>-112.3591328</v>
      </c>
      <c r="Q104" s="2">
        <v>0</v>
      </c>
      <c r="R104" s="2">
        <v>0</v>
      </c>
      <c r="S104" s="2">
        <v>0</v>
      </c>
      <c r="T104" s="2">
        <v>0</v>
      </c>
      <c r="U104" s="2">
        <v>0</v>
      </c>
      <c r="V104" s="2">
        <v>0</v>
      </c>
      <c r="W104" s="2">
        <v>0</v>
      </c>
      <c r="X104" s="2">
        <v>0</v>
      </c>
      <c r="Y104" s="2">
        <v>0</v>
      </c>
      <c r="Z104" s="2">
        <v>0</v>
      </c>
      <c r="AA104" s="2">
        <v>0</v>
      </c>
      <c r="AB104" s="2">
        <v>0</v>
      </c>
      <c r="AC104" s="2">
        <v>0</v>
      </c>
      <c r="AD104" s="2">
        <v>0</v>
      </c>
      <c r="AE104" s="2">
        <v>0</v>
      </c>
      <c r="AF104" s="2">
        <v>0</v>
      </c>
      <c r="AG104" s="2">
        <v>0</v>
      </c>
      <c r="AH104" s="2">
        <v>0</v>
      </c>
      <c r="AI104" s="2">
        <v>0</v>
      </c>
      <c r="AJ104" s="2">
        <v>0</v>
      </c>
      <c r="AK104" s="2">
        <v>0</v>
      </c>
      <c r="AL104" s="2">
        <v>0</v>
      </c>
      <c r="AM104" s="2">
        <v>0</v>
      </c>
      <c r="AN104" s="2">
        <v>0</v>
      </c>
      <c r="AO104" s="2">
        <v>0</v>
      </c>
      <c r="AP104" s="2">
        <v>0</v>
      </c>
      <c r="AQ104" s="2">
        <v>0</v>
      </c>
      <c r="AR104" s="2">
        <v>0</v>
      </c>
      <c r="AS104" s="2">
        <v>0</v>
      </c>
      <c r="AT104" s="2">
        <v>0</v>
      </c>
      <c r="AU104" s="2">
        <v>0</v>
      </c>
      <c r="AV104" s="2">
        <v>0</v>
      </c>
      <c r="AW104" s="2">
        <v>0</v>
      </c>
      <c r="AX104" s="2">
        <v>0</v>
      </c>
      <c r="AY104" s="2">
        <v>0</v>
      </c>
      <c r="AZ104" s="2">
        <v>0</v>
      </c>
      <c r="BA104" s="2">
        <v>0</v>
      </c>
      <c r="BB104" s="2">
        <v>0</v>
      </c>
      <c r="BC104" s="2">
        <v>0</v>
      </c>
      <c r="BD104" s="2">
        <v>0</v>
      </c>
      <c r="BE104" s="2">
        <v>0</v>
      </c>
      <c r="BF104" s="2">
        <v>0</v>
      </c>
      <c r="BG104" s="2">
        <v>0</v>
      </c>
      <c r="BH104" s="2">
        <v>0</v>
      </c>
      <c r="BI104" s="2">
        <v>0</v>
      </c>
      <c r="BJ104" s="2">
        <v>0</v>
      </c>
      <c r="BK104" s="2">
        <v>0</v>
      </c>
      <c r="BL104" s="2">
        <v>0</v>
      </c>
      <c r="BM104" s="2">
        <v>0</v>
      </c>
      <c r="BN104" s="2">
        <v>0</v>
      </c>
      <c r="BO104" s="2">
        <v>0</v>
      </c>
      <c r="BP104" s="2">
        <v>0</v>
      </c>
      <c r="BQ104" s="2">
        <v>0</v>
      </c>
      <c r="BR104" s="2">
        <v>0</v>
      </c>
      <c r="BS104" s="2">
        <v>0</v>
      </c>
      <c r="BT104" s="2">
        <v>0</v>
      </c>
      <c r="BU104" s="2">
        <v>0</v>
      </c>
      <c r="BV104" s="2">
        <v>0</v>
      </c>
      <c r="BW104" s="2">
        <v>0</v>
      </c>
      <c r="BX104" s="2">
        <v>0</v>
      </c>
      <c r="BY104" s="2">
        <v>0</v>
      </c>
      <c r="BZ104" s="2">
        <v>0</v>
      </c>
      <c r="CA104" s="2">
        <v>0</v>
      </c>
      <c r="CB104" s="2">
        <v>0</v>
      </c>
      <c r="CC104" s="2">
        <v>0</v>
      </c>
      <c r="CD104" s="2">
        <v>0</v>
      </c>
      <c r="CE104" s="2">
        <v>0</v>
      </c>
      <c r="CF104" s="2">
        <v>0</v>
      </c>
      <c r="CG104" s="2">
        <v>0</v>
      </c>
      <c r="CH104" s="2">
        <v>0</v>
      </c>
      <c r="CI104" s="2">
        <v>1</v>
      </c>
      <c r="CJ104" s="2">
        <v>0</v>
      </c>
      <c r="CK104" s="2">
        <v>0</v>
      </c>
      <c r="CL104" s="2">
        <v>0</v>
      </c>
      <c r="CM104" s="2">
        <v>0</v>
      </c>
      <c r="CN104" s="2">
        <v>0</v>
      </c>
      <c r="CO104" s="2">
        <v>0</v>
      </c>
      <c r="CP104" s="2">
        <v>0</v>
      </c>
      <c r="CQ104" s="2">
        <v>0</v>
      </c>
      <c r="CR104" s="2">
        <v>0</v>
      </c>
      <c r="CS104" s="2">
        <v>0</v>
      </c>
      <c r="CT104" s="2">
        <v>0</v>
      </c>
      <c r="CU104" s="2">
        <v>0</v>
      </c>
      <c r="CV104" s="2">
        <v>0</v>
      </c>
      <c r="CW104" s="2">
        <v>0</v>
      </c>
      <c r="CX104" s="2">
        <v>0</v>
      </c>
      <c r="CY104" s="2">
        <v>0</v>
      </c>
      <c r="CZ104" s="2">
        <v>0</v>
      </c>
      <c r="DA104" s="2">
        <v>0</v>
      </c>
      <c r="DB104" s="2">
        <v>0</v>
      </c>
      <c r="DC104" s="2">
        <v>0</v>
      </c>
      <c r="DD104" s="57">
        <f>436</f>
        <v>436</v>
      </c>
      <c r="DE104" s="2">
        <v>0</v>
      </c>
      <c r="DF104" s="2">
        <v>0</v>
      </c>
    </row>
    <row r="105" spans="1:110" ht="17" x14ac:dyDescent="0.2">
      <c r="A105" s="2" t="s">
        <v>304</v>
      </c>
      <c r="B105" s="2" t="s">
        <v>371</v>
      </c>
      <c r="D105" s="2" t="s">
        <v>59</v>
      </c>
      <c r="E105" s="2" t="str">
        <f t="shared" si="18"/>
        <v>Lagenholz Brettsperrholz  - RER</v>
      </c>
      <c r="F105" s="2" t="s">
        <v>89</v>
      </c>
      <c r="G105" s="2">
        <v>0.436</v>
      </c>
      <c r="H105" s="2" t="str">
        <f>INDEX(L$2:DG$2,1,MATCH(1,L105:DG105,0))</f>
        <v>Cross-laminted timber, average glue mix, at plant - RER</v>
      </c>
      <c r="I105" s="36">
        <f>0.88*1.7658+0.583</f>
        <v>2.1369039999999999</v>
      </c>
      <c r="J105" s="36">
        <v>1.4630000000000001</v>
      </c>
      <c r="K105" s="36">
        <v>1</v>
      </c>
      <c r="L105" s="2">
        <v>0</v>
      </c>
      <c r="M105" s="2">
        <v>0</v>
      </c>
      <c r="N105" s="2">
        <f>0</f>
        <v>0</v>
      </c>
      <c r="O105" s="2">
        <f>-0.88*1.7658-0.583</f>
        <v>-2.1369039999999999</v>
      </c>
      <c r="P105" s="2">
        <f>-53-0.88*1.08*1.09*57.3</f>
        <v>-112.3591328</v>
      </c>
      <c r="Q105" s="2">
        <v>0</v>
      </c>
      <c r="R105" s="2">
        <v>0</v>
      </c>
      <c r="S105" s="2">
        <v>0</v>
      </c>
      <c r="T105" s="2">
        <v>0</v>
      </c>
      <c r="U105" s="2">
        <v>0</v>
      </c>
      <c r="V105" s="2">
        <v>0</v>
      </c>
      <c r="W105" s="2">
        <v>0</v>
      </c>
      <c r="X105" s="2">
        <v>0</v>
      </c>
      <c r="Y105" s="2">
        <v>0</v>
      </c>
      <c r="Z105" s="2">
        <v>0</v>
      </c>
      <c r="AA105" s="2">
        <v>0</v>
      </c>
      <c r="AB105" s="2">
        <v>0</v>
      </c>
      <c r="AC105" s="2">
        <v>0</v>
      </c>
      <c r="AD105" s="2">
        <v>0</v>
      </c>
      <c r="AE105" s="2">
        <v>0</v>
      </c>
      <c r="AF105" s="2">
        <v>0</v>
      </c>
      <c r="AG105" s="2">
        <v>0</v>
      </c>
      <c r="AH105" s="2">
        <v>0</v>
      </c>
      <c r="AI105" s="2">
        <v>0</v>
      </c>
      <c r="AJ105" s="2">
        <v>0</v>
      </c>
      <c r="AK105" s="2">
        <v>0</v>
      </c>
      <c r="AL105" s="2">
        <v>0</v>
      </c>
      <c r="AM105" s="2">
        <v>0</v>
      </c>
      <c r="AN105" s="2">
        <v>0</v>
      </c>
      <c r="AO105" s="2">
        <v>0</v>
      </c>
      <c r="AP105" s="2">
        <v>0</v>
      </c>
      <c r="AQ105" s="2">
        <v>0</v>
      </c>
      <c r="AR105" s="2">
        <v>0</v>
      </c>
      <c r="AS105" s="2">
        <v>0</v>
      </c>
      <c r="AT105" s="2">
        <v>0</v>
      </c>
      <c r="AU105" s="2">
        <v>0</v>
      </c>
      <c r="AV105" s="2">
        <v>0</v>
      </c>
      <c r="AW105" s="2">
        <v>0</v>
      </c>
      <c r="AX105" s="2">
        <v>0</v>
      </c>
      <c r="AY105" s="2">
        <v>0</v>
      </c>
      <c r="AZ105" s="2">
        <v>0</v>
      </c>
      <c r="BA105" s="2">
        <v>0</v>
      </c>
      <c r="BB105" s="2">
        <v>0</v>
      </c>
      <c r="BC105" s="2">
        <v>0</v>
      </c>
      <c r="BD105" s="2">
        <v>0</v>
      </c>
      <c r="BE105" s="2">
        <v>0</v>
      </c>
      <c r="BF105" s="2">
        <v>0</v>
      </c>
      <c r="BG105" s="2">
        <v>0</v>
      </c>
      <c r="BH105" s="2">
        <v>0</v>
      </c>
      <c r="BI105" s="2">
        <v>0</v>
      </c>
      <c r="BJ105" s="2">
        <v>0</v>
      </c>
      <c r="BK105" s="2">
        <v>0</v>
      </c>
      <c r="BL105" s="2">
        <v>0</v>
      </c>
      <c r="BM105" s="2">
        <v>0</v>
      </c>
      <c r="BN105" s="2">
        <v>0</v>
      </c>
      <c r="BO105" s="2">
        <v>0</v>
      </c>
      <c r="BP105" s="2">
        <v>0</v>
      </c>
      <c r="BQ105" s="2">
        <v>0</v>
      </c>
      <c r="BR105" s="2">
        <v>0</v>
      </c>
      <c r="BS105" s="2">
        <v>0</v>
      </c>
      <c r="BT105" s="2">
        <v>0</v>
      </c>
      <c r="BU105" s="2">
        <v>0</v>
      </c>
      <c r="BV105" s="2">
        <v>0</v>
      </c>
      <c r="BW105" s="2">
        <v>0</v>
      </c>
      <c r="BX105" s="2">
        <v>0</v>
      </c>
      <c r="BY105" s="2">
        <v>0</v>
      </c>
      <c r="BZ105" s="2">
        <v>0</v>
      </c>
      <c r="CA105" s="2">
        <v>0</v>
      </c>
      <c r="CB105" s="2">
        <v>0</v>
      </c>
      <c r="CC105" s="2">
        <v>0</v>
      </c>
      <c r="CD105" s="2">
        <v>0</v>
      </c>
      <c r="CE105" s="2">
        <v>0</v>
      </c>
      <c r="CF105" s="2">
        <v>0</v>
      </c>
      <c r="CG105" s="2">
        <v>0</v>
      </c>
      <c r="CH105" s="2">
        <v>0</v>
      </c>
      <c r="CI105" s="2">
        <v>1</v>
      </c>
      <c r="CJ105" s="2">
        <v>0</v>
      </c>
      <c r="CK105" s="2">
        <v>0</v>
      </c>
      <c r="CL105" s="2">
        <v>0</v>
      </c>
      <c r="CM105" s="2">
        <v>0</v>
      </c>
      <c r="CN105" s="2">
        <v>0</v>
      </c>
      <c r="CO105" s="2">
        <v>0</v>
      </c>
      <c r="CP105" s="2">
        <v>0</v>
      </c>
      <c r="CQ105" s="2">
        <v>0</v>
      </c>
      <c r="CR105" s="2">
        <v>0</v>
      </c>
      <c r="CS105" s="2">
        <v>0</v>
      </c>
      <c r="CT105" s="2">
        <v>0</v>
      </c>
      <c r="CU105" s="2">
        <v>0</v>
      </c>
      <c r="CV105" s="2">
        <v>0</v>
      </c>
      <c r="CW105" s="2">
        <v>0</v>
      </c>
      <c r="CX105" s="2">
        <v>0</v>
      </c>
      <c r="CY105" s="2">
        <v>0</v>
      </c>
      <c r="CZ105" s="2">
        <v>0</v>
      </c>
      <c r="DA105" s="2">
        <v>0</v>
      </c>
      <c r="DB105" s="2">
        <v>0</v>
      </c>
      <c r="DC105" s="2">
        <v>0</v>
      </c>
      <c r="DD105" s="2">
        <v>436</v>
      </c>
      <c r="DE105" s="2">
        <v>0</v>
      </c>
      <c r="DF105" s="2">
        <v>0</v>
      </c>
    </row>
  </sheetData>
  <phoneticPr fontId="4" type="noConversion"/>
  <conditionalFormatting sqref="R4:UK4 L4:O28 P4:Q53 R5:CM63 CP5:DE63 DF5:DF65 CN5:CO103 CI5:CI105 L29:P29 M29:M33 L34:O48 L49:P49 M49:M53 L54:Q63 CP64:DA64 DC64:DE65 L64:CM101 CT65:DA65 CR65:CS66 CT66:DB66 DD66:DE77 CR67:DB76 DF68:DF79 CT77:DB77 CR77:CS79 CT78:DC79 DE78:DE79 CR80:CZ81 DB80:DF81 L102:P102 R102:CE102 CF102:CM103 L103:CE103 L105:DF629">
    <cfRule type="cellIs" dxfId="12" priority="7" operator="notEqual">
      <formula>0</formula>
    </cfRule>
  </conditionalFormatting>
  <conditionalFormatting sqref="DG5:UK629 CP65:CQ81 CP82:DC83 DE82:DF83 CP84:DF103">
    <cfRule type="cellIs" dxfId="11" priority="1" operator="notEqual">
      <formula>0</formula>
    </cfRule>
  </conditionalFormatting>
  <pageMargins left="0.7" right="0.7" top="0.78740157499999996" bottom="0.78740157499999996" header="0.3" footer="0.3"/>
  <pageSetup paperSize="9" orientation="portrait" horizontalDpi="0" verticalDpi="0"/>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DB378-7063-6B43-BE2A-A2C3A4848D36}">
  <dimension ref="A1:DH15"/>
  <sheetViews>
    <sheetView zoomScale="70" zoomScaleNormal="70" workbookViewId="0">
      <pane xSplit="1" topLeftCell="BV1" activePane="topRight" state="frozen"/>
      <selection pane="topRight" activeCell="CC1" sqref="CC1"/>
    </sheetView>
  </sheetViews>
  <sheetFormatPr baseColWidth="10" defaultRowHeight="16" x14ac:dyDescent="0.2"/>
  <cols>
    <col min="1" max="1" width="43.83203125" style="5" customWidth="1"/>
    <col min="2" max="9" width="20.1640625" style="5" customWidth="1"/>
    <col min="10" max="69" width="16" customWidth="1"/>
    <col min="70" max="74" width="13.6640625" customWidth="1"/>
    <col min="75" max="76" width="14.33203125" customWidth="1"/>
    <col min="77" max="77" width="18.6640625" customWidth="1"/>
    <col min="78" max="83" width="14.33203125" customWidth="1"/>
    <col min="84" max="85" width="16.1640625" customWidth="1"/>
    <col min="86" max="87" width="16.33203125" customWidth="1"/>
    <col min="88" max="94" width="15.33203125" customWidth="1"/>
    <col min="95" max="100" width="14.1640625" customWidth="1"/>
    <col min="101" max="101" width="14.33203125" customWidth="1"/>
  </cols>
  <sheetData>
    <row r="1" spans="1:112" ht="286" x14ac:dyDescent="0.25">
      <c r="A1" s="31" t="s">
        <v>127</v>
      </c>
      <c r="B1" s="31" t="s">
        <v>57</v>
      </c>
      <c r="C1" s="31" t="s">
        <v>128</v>
      </c>
      <c r="D1" s="31" t="s">
        <v>122</v>
      </c>
      <c r="E1" s="31" t="s">
        <v>123</v>
      </c>
      <c r="F1" s="31" t="s">
        <v>113</v>
      </c>
      <c r="G1" s="31" t="s">
        <v>287</v>
      </c>
      <c r="H1" s="31" t="s">
        <v>114</v>
      </c>
      <c r="I1" s="31" t="s">
        <v>129</v>
      </c>
      <c r="J1" s="31" t="s">
        <v>117</v>
      </c>
      <c r="K1" s="31" t="s">
        <v>116</v>
      </c>
      <c r="L1" s="31" t="s">
        <v>84</v>
      </c>
      <c r="M1" s="31" t="s">
        <v>192</v>
      </c>
      <c r="N1" s="31" t="s">
        <v>193</v>
      </c>
      <c r="O1" s="31" t="s">
        <v>112</v>
      </c>
      <c r="P1" s="31" t="s">
        <v>111</v>
      </c>
      <c r="Q1" s="31" t="s">
        <v>115</v>
      </c>
      <c r="R1" s="31" t="s">
        <v>83</v>
      </c>
      <c r="S1" s="31" t="s">
        <v>108</v>
      </c>
      <c r="T1" s="31" t="s">
        <v>110</v>
      </c>
      <c r="U1" s="31" t="s">
        <v>109</v>
      </c>
      <c r="V1" s="31" t="s">
        <v>119</v>
      </c>
      <c r="W1" s="31" t="s">
        <v>118</v>
      </c>
      <c r="X1" s="31" t="s">
        <v>121</v>
      </c>
      <c r="Y1" s="31" t="s">
        <v>120</v>
      </c>
      <c r="Z1" s="31" t="s">
        <v>194</v>
      </c>
      <c r="AA1" s="31" t="s">
        <v>195</v>
      </c>
      <c r="AB1" s="31" t="s">
        <v>196</v>
      </c>
      <c r="AC1" s="31" t="s">
        <v>197</v>
      </c>
      <c r="AD1" s="31" t="s">
        <v>157</v>
      </c>
      <c r="AE1" s="31" t="s">
        <v>160</v>
      </c>
      <c r="AF1" s="31" t="s">
        <v>156</v>
      </c>
      <c r="AG1" s="31" t="s">
        <v>158</v>
      </c>
      <c r="AH1" s="31" t="s">
        <v>162</v>
      </c>
      <c r="AI1" s="31" t="s">
        <v>164</v>
      </c>
      <c r="AJ1" s="31" t="s">
        <v>163</v>
      </c>
      <c r="AK1" s="31" t="s">
        <v>161</v>
      </c>
      <c r="AL1" s="31" t="s">
        <v>165</v>
      </c>
      <c r="AM1" s="31" t="s">
        <v>182</v>
      </c>
      <c r="AN1" s="31" t="s">
        <v>184</v>
      </c>
      <c r="AO1" s="31" t="s">
        <v>180</v>
      </c>
      <c r="AP1" s="31" t="s">
        <v>181</v>
      </c>
      <c r="AQ1" s="31" t="s">
        <v>147</v>
      </c>
      <c r="AR1" s="31" t="s">
        <v>150</v>
      </c>
      <c r="AS1" s="31" t="s">
        <v>183</v>
      </c>
      <c r="AT1" s="31" t="s">
        <v>146</v>
      </c>
      <c r="AU1" s="31" t="s">
        <v>152</v>
      </c>
      <c r="AV1" s="31" t="s">
        <v>151</v>
      </c>
      <c r="AW1" s="31" t="s">
        <v>149</v>
      </c>
      <c r="AX1" s="31" t="s">
        <v>148</v>
      </c>
      <c r="AY1" s="31" t="s">
        <v>159</v>
      </c>
      <c r="AZ1" s="31" t="s">
        <v>155</v>
      </c>
      <c r="BA1" s="31" t="s">
        <v>153</v>
      </c>
      <c r="BB1" s="31" t="s">
        <v>166</v>
      </c>
      <c r="BC1" s="31" t="s">
        <v>168</v>
      </c>
      <c r="BD1" s="31" t="s">
        <v>167</v>
      </c>
      <c r="BE1" s="31" t="s">
        <v>171</v>
      </c>
      <c r="BF1" s="31" t="s">
        <v>172</v>
      </c>
      <c r="BG1" s="31" t="s">
        <v>169</v>
      </c>
      <c r="BH1" s="31" t="s">
        <v>170</v>
      </c>
      <c r="BI1" s="31" t="s">
        <v>185</v>
      </c>
      <c r="BJ1" s="31" t="s">
        <v>173</v>
      </c>
      <c r="BK1" s="31" t="s">
        <v>174</v>
      </c>
      <c r="BL1" s="31" t="s">
        <v>175</v>
      </c>
      <c r="BM1" s="31" t="s">
        <v>178</v>
      </c>
      <c r="BN1" s="31" t="s">
        <v>176</v>
      </c>
      <c r="BO1" s="31" t="s">
        <v>177</v>
      </c>
      <c r="BP1" s="31" t="s">
        <v>179</v>
      </c>
      <c r="BQ1" s="31" t="s">
        <v>154</v>
      </c>
      <c r="BR1" s="31" t="s">
        <v>187</v>
      </c>
      <c r="BS1" s="31" t="s">
        <v>186</v>
      </c>
      <c r="BT1" s="31" t="s">
        <v>189</v>
      </c>
      <c r="BU1" s="31" t="s">
        <v>188</v>
      </c>
      <c r="BV1" s="31" t="s">
        <v>288</v>
      </c>
      <c r="BW1" s="31" t="s">
        <v>210</v>
      </c>
      <c r="BX1" s="31" t="s">
        <v>211</v>
      </c>
      <c r="BY1" s="31" t="s">
        <v>372</v>
      </c>
      <c r="BZ1" s="31" t="s">
        <v>212</v>
      </c>
      <c r="CA1" s="31" t="s">
        <v>213</v>
      </c>
      <c r="CB1" s="31" t="s">
        <v>214</v>
      </c>
      <c r="CC1" s="31" t="s">
        <v>215</v>
      </c>
      <c r="CD1" s="31" t="s">
        <v>327</v>
      </c>
      <c r="CE1" s="31" t="s">
        <v>328</v>
      </c>
      <c r="CF1" s="31" t="s">
        <v>246</v>
      </c>
      <c r="CG1" s="31" t="s">
        <v>247</v>
      </c>
      <c r="CH1" s="31" t="s">
        <v>256</v>
      </c>
      <c r="CI1" s="31" t="s">
        <v>257</v>
      </c>
      <c r="CJ1" s="31" t="s">
        <v>219</v>
      </c>
      <c r="CK1" s="31" t="s">
        <v>220</v>
      </c>
      <c r="CL1" s="31" t="s">
        <v>221</v>
      </c>
      <c r="CM1" s="31" t="s">
        <v>222</v>
      </c>
      <c r="CN1" s="31" t="s">
        <v>223</v>
      </c>
      <c r="CO1" s="31" t="s">
        <v>224</v>
      </c>
      <c r="CP1" s="31" t="s">
        <v>225</v>
      </c>
      <c r="CQ1" s="31" t="s">
        <v>239</v>
      </c>
      <c r="CR1" s="31" t="s">
        <v>240</v>
      </c>
      <c r="CS1" s="31" t="s">
        <v>241</v>
      </c>
      <c r="CT1" s="31" t="s">
        <v>242</v>
      </c>
      <c r="CU1" s="31" t="s">
        <v>243</v>
      </c>
      <c r="CV1" s="31" t="s">
        <v>289</v>
      </c>
      <c r="CW1" s="31" t="s">
        <v>130</v>
      </c>
      <c r="CX1" s="31"/>
      <c r="CY1" s="31"/>
      <c r="CZ1" s="31"/>
      <c r="DA1" s="31"/>
      <c r="DB1" s="31"/>
      <c r="DC1" s="31"/>
      <c r="DD1" s="31"/>
      <c r="DE1" s="31"/>
      <c r="DF1" s="31"/>
      <c r="DG1" s="31"/>
      <c r="DH1" s="31"/>
    </row>
    <row r="2" spans="1:112" ht="44" x14ac:dyDescent="0.25">
      <c r="A2" s="32" t="s">
        <v>131</v>
      </c>
      <c r="B2" s="33">
        <v>153.233</v>
      </c>
      <c r="C2" s="33">
        <v>157.595</v>
      </c>
      <c r="D2" s="33">
        <v>181.59899999999999</v>
      </c>
      <c r="E2" s="33">
        <v>151.34200000000001</v>
      </c>
      <c r="F2" s="33">
        <v>2.7330999999999999</v>
      </c>
      <c r="G2" s="33">
        <v>2.00169</v>
      </c>
      <c r="H2" s="33">
        <v>0.45310299999999998</v>
      </c>
      <c r="I2" s="33">
        <v>0.19406000000000001</v>
      </c>
      <c r="J2" s="33">
        <v>1040.3699999999999</v>
      </c>
      <c r="K2" s="33">
        <v>1046.1400000000001</v>
      </c>
      <c r="L2" s="33">
        <v>955.62800000000004</v>
      </c>
      <c r="M2" s="33">
        <v>660.51700000000005</v>
      </c>
      <c r="N2" s="33">
        <v>643.20699999999999</v>
      </c>
      <c r="O2" s="33">
        <v>801.23199999999997</v>
      </c>
      <c r="P2" s="33">
        <v>927.03700000000003</v>
      </c>
      <c r="Q2" s="33">
        <v>1279.1400000000001</v>
      </c>
      <c r="R2" s="33">
        <v>1144.02</v>
      </c>
      <c r="S2" s="33">
        <v>1093.8699999999999</v>
      </c>
      <c r="T2" s="33">
        <v>606.64</v>
      </c>
      <c r="U2" s="33">
        <v>926.43700000000001</v>
      </c>
      <c r="V2" s="33">
        <v>639.18799999999999</v>
      </c>
      <c r="W2" s="33">
        <v>902.08699999999999</v>
      </c>
      <c r="X2" s="33">
        <v>791.3</v>
      </c>
      <c r="Y2" s="33">
        <v>897.56399999999996</v>
      </c>
      <c r="Z2" s="33">
        <v>1094.44</v>
      </c>
      <c r="AA2" s="33">
        <v>987.53800000000001</v>
      </c>
      <c r="AB2" s="33">
        <v>928.41099999999994</v>
      </c>
      <c r="AC2" s="33">
        <v>852.053</v>
      </c>
      <c r="AD2" s="33">
        <v>1166.8499999999999</v>
      </c>
      <c r="AE2" s="33">
        <v>639.18799999999999</v>
      </c>
      <c r="AF2" s="33">
        <v>1099.78</v>
      </c>
      <c r="AG2" s="33">
        <v>971.88300000000004</v>
      </c>
      <c r="AH2" s="33">
        <v>853.10900000000004</v>
      </c>
      <c r="AI2" s="33">
        <v>760.98699999999997</v>
      </c>
      <c r="AJ2" s="33">
        <v>869.82100000000003</v>
      </c>
      <c r="AK2" s="33">
        <v>606.64</v>
      </c>
      <c r="AL2" s="33">
        <v>762.42600000000004</v>
      </c>
      <c r="AM2" s="33">
        <v>869.82100000000003</v>
      </c>
      <c r="AN2" s="33">
        <v>763.68</v>
      </c>
      <c r="AO2" s="33">
        <v>606.64</v>
      </c>
      <c r="AP2" s="33">
        <v>853.10900000000004</v>
      </c>
      <c r="AQ2" s="33">
        <v>1344.89</v>
      </c>
      <c r="AR2" s="33">
        <v>643.20699999999999</v>
      </c>
      <c r="AS2" s="33">
        <v>761.17700000000002</v>
      </c>
      <c r="AT2" s="33">
        <v>1193.6400000000001</v>
      </c>
      <c r="AU2" s="33">
        <v>939.18499999999995</v>
      </c>
      <c r="AV2" s="33">
        <v>660.51700000000005</v>
      </c>
      <c r="AW2" s="33">
        <v>888.12900000000002</v>
      </c>
      <c r="AX2" s="33">
        <v>1027.5899999999999</v>
      </c>
      <c r="AY2" s="33">
        <v>1015.14</v>
      </c>
      <c r="AZ2" s="33">
        <v>819.96600000000001</v>
      </c>
      <c r="BA2" s="33">
        <v>1033.5999999999999</v>
      </c>
      <c r="BB2" s="33">
        <v>1239.17</v>
      </c>
      <c r="BC2" s="33">
        <v>1066.02</v>
      </c>
      <c r="BD2" s="33">
        <v>1400.63</v>
      </c>
      <c r="BE2" s="33">
        <v>660.51700000000005</v>
      </c>
      <c r="BF2" s="33">
        <v>939.18499999999995</v>
      </c>
      <c r="BG2" s="33">
        <v>1186.9100000000001</v>
      </c>
      <c r="BH2" s="33">
        <v>643.20699999999999</v>
      </c>
      <c r="BI2" s="33">
        <v>1033.5999999999999</v>
      </c>
      <c r="BJ2" s="33">
        <v>819.96600000000001</v>
      </c>
      <c r="BK2" s="33">
        <v>888.12900000000002</v>
      </c>
      <c r="BL2" s="33">
        <v>1134.1199999999999</v>
      </c>
      <c r="BM2" s="33">
        <v>1059.8599999999999</v>
      </c>
      <c r="BN2" s="33">
        <v>1208.9000000000001</v>
      </c>
      <c r="BO2" s="33">
        <v>1008.45</v>
      </c>
      <c r="BP2" s="33">
        <v>639.18799999999999</v>
      </c>
      <c r="BQ2" s="33">
        <v>888.12900000000002</v>
      </c>
      <c r="BR2" s="50">
        <v>8302.93</v>
      </c>
      <c r="BS2" s="33">
        <v>2234.9699999999998</v>
      </c>
      <c r="BT2" s="33">
        <v>3433.61</v>
      </c>
      <c r="BU2" s="33">
        <v>5386.16</v>
      </c>
      <c r="BV2" s="33">
        <v>1412.15</v>
      </c>
      <c r="BW2" s="33">
        <v>1757.6</v>
      </c>
      <c r="BX2" s="33">
        <v>2471.94</v>
      </c>
      <c r="BY2" s="50">
        <v>2835.54</v>
      </c>
      <c r="BZ2" s="33">
        <v>14608.7</v>
      </c>
      <c r="CA2" s="33">
        <v>7722.04</v>
      </c>
      <c r="CB2" s="33">
        <v>11761.2</v>
      </c>
      <c r="CC2" s="33">
        <v>3329.46</v>
      </c>
      <c r="CD2" s="33">
        <v>2557.36</v>
      </c>
      <c r="CE2" s="33">
        <v>1686.32</v>
      </c>
      <c r="CF2" s="33">
        <v>0.67620999999999998</v>
      </c>
      <c r="CG2" s="33">
        <v>0.40894000000000003</v>
      </c>
      <c r="CH2" s="33">
        <v>0.45399400000000001</v>
      </c>
      <c r="CI2" s="33">
        <v>0.46854200000000001</v>
      </c>
      <c r="CJ2" s="33">
        <v>2.1407799999999999</v>
      </c>
      <c r="CK2" s="33">
        <v>0.40207100000000001</v>
      </c>
      <c r="CL2" s="33">
        <v>0.57495799999999997</v>
      </c>
      <c r="CM2" s="33">
        <v>0.611043</v>
      </c>
      <c r="CN2" s="33">
        <v>0.71169899999999997</v>
      </c>
      <c r="CO2" s="33">
        <v>0.749143</v>
      </c>
      <c r="CP2" s="33">
        <v>0.66589299999999996</v>
      </c>
      <c r="CQ2" s="33">
        <v>0.33379700000000001</v>
      </c>
      <c r="CR2" s="33">
        <v>0.547319</v>
      </c>
      <c r="CS2" s="33">
        <v>0.352989</v>
      </c>
      <c r="CT2" s="33">
        <v>0.32899899999999999</v>
      </c>
      <c r="CU2" s="33">
        <v>0.32100200000000001</v>
      </c>
      <c r="CV2" s="33">
        <v>0.35594900000000002</v>
      </c>
      <c r="CW2" s="33" t="s">
        <v>132</v>
      </c>
      <c r="CX2" s="33"/>
      <c r="CY2" s="33"/>
    </row>
    <row r="3" spans="1:112" ht="44" x14ac:dyDescent="0.25">
      <c r="A3" s="32" t="s">
        <v>133</v>
      </c>
      <c r="B3" s="33">
        <v>7.9198399999999998</v>
      </c>
      <c r="C3" s="33">
        <v>9.8406199999999995</v>
      </c>
      <c r="D3" s="33">
        <v>8.0273699999999995</v>
      </c>
      <c r="E3" s="33">
        <v>9.0335699999999992</v>
      </c>
      <c r="F3" s="33">
        <v>0.15545500000000001</v>
      </c>
      <c r="G3" s="33">
        <v>0.11305999999999999</v>
      </c>
      <c r="H3" s="33">
        <v>0.15998499999999999</v>
      </c>
      <c r="I3" s="33">
        <v>6.9612499999999994E-2</v>
      </c>
      <c r="J3" s="33">
        <v>367.02499999999998</v>
      </c>
      <c r="K3" s="33">
        <v>226.03299999999999</v>
      </c>
      <c r="L3" s="33">
        <v>332.07600000000002</v>
      </c>
      <c r="M3" s="33">
        <v>103.551</v>
      </c>
      <c r="N3" s="33">
        <v>145.41900000000001</v>
      </c>
      <c r="O3" s="33">
        <v>161.886</v>
      </c>
      <c r="P3" s="33">
        <v>200.01599999999999</v>
      </c>
      <c r="Q3" s="33">
        <v>300.41399999999999</v>
      </c>
      <c r="R3" s="33">
        <v>447.44200000000001</v>
      </c>
      <c r="S3" s="33">
        <v>247.39599999999999</v>
      </c>
      <c r="T3" s="33">
        <v>94.261700000000005</v>
      </c>
      <c r="U3" s="33">
        <v>194.42699999999999</v>
      </c>
      <c r="V3" s="33">
        <v>132.989</v>
      </c>
      <c r="W3" s="33">
        <v>284.88900000000001</v>
      </c>
      <c r="X3" s="33">
        <v>238.63800000000001</v>
      </c>
      <c r="Y3" s="33">
        <v>297.541</v>
      </c>
      <c r="Z3" s="33">
        <v>248.54900000000001</v>
      </c>
      <c r="AA3" s="33">
        <v>371.21899999999999</v>
      </c>
      <c r="AB3" s="33">
        <v>196.798</v>
      </c>
      <c r="AC3" s="33">
        <v>291.12700000000001</v>
      </c>
      <c r="AD3" s="33">
        <v>270.33600000000001</v>
      </c>
      <c r="AE3" s="33">
        <v>132.989</v>
      </c>
      <c r="AF3" s="33">
        <v>402.50900000000001</v>
      </c>
      <c r="AG3" s="33">
        <v>330.96600000000001</v>
      </c>
      <c r="AH3" s="33">
        <v>266.19900000000001</v>
      </c>
      <c r="AI3" s="33">
        <v>217.34100000000001</v>
      </c>
      <c r="AJ3" s="33">
        <v>179.976</v>
      </c>
      <c r="AK3" s="33">
        <v>94.261700000000005</v>
      </c>
      <c r="AL3" s="33">
        <v>148.279</v>
      </c>
      <c r="AM3" s="33">
        <v>179.976</v>
      </c>
      <c r="AN3" s="33">
        <v>150.70400000000001</v>
      </c>
      <c r="AO3" s="33">
        <v>94.261700000000005</v>
      </c>
      <c r="AP3" s="33">
        <v>266.19900000000001</v>
      </c>
      <c r="AQ3" s="33">
        <v>322.49599999999998</v>
      </c>
      <c r="AR3" s="33">
        <v>145.41900000000001</v>
      </c>
      <c r="AS3" s="33">
        <v>217.35599999999999</v>
      </c>
      <c r="AT3" s="33">
        <v>481.77</v>
      </c>
      <c r="AU3" s="33">
        <v>339.02499999999998</v>
      </c>
      <c r="AV3" s="33">
        <v>103.551</v>
      </c>
      <c r="AW3" s="33">
        <v>183.14500000000001</v>
      </c>
      <c r="AX3" s="33">
        <v>380.44900000000001</v>
      </c>
      <c r="AY3" s="33">
        <v>224.05500000000001</v>
      </c>
      <c r="AZ3" s="33">
        <v>269.83199999999999</v>
      </c>
      <c r="BA3" s="33">
        <v>227.90299999999999</v>
      </c>
      <c r="BB3" s="33">
        <v>507.66300000000001</v>
      </c>
      <c r="BC3" s="33">
        <v>402.71100000000001</v>
      </c>
      <c r="BD3" s="33">
        <v>339.17700000000002</v>
      </c>
      <c r="BE3" s="33">
        <v>103.551</v>
      </c>
      <c r="BF3" s="33">
        <v>339.02499999999998</v>
      </c>
      <c r="BG3" s="33">
        <v>271.47000000000003</v>
      </c>
      <c r="BH3" s="33">
        <v>145.41900000000001</v>
      </c>
      <c r="BI3" s="33">
        <v>227.90299999999999</v>
      </c>
      <c r="BJ3" s="33">
        <v>269.83199999999999</v>
      </c>
      <c r="BK3" s="33">
        <v>183.14500000000001</v>
      </c>
      <c r="BL3" s="33">
        <v>423.54500000000002</v>
      </c>
      <c r="BM3" s="33">
        <v>239.56899999999999</v>
      </c>
      <c r="BN3" s="33">
        <v>283.76799999999997</v>
      </c>
      <c r="BO3" s="33">
        <v>351.846</v>
      </c>
      <c r="BP3" s="33">
        <v>132.989</v>
      </c>
      <c r="BQ3" s="33">
        <v>183.14451</v>
      </c>
      <c r="BR3" s="50">
        <v>832.13</v>
      </c>
      <c r="BS3" s="33">
        <v>257.76400000000001</v>
      </c>
      <c r="BT3" s="33">
        <v>386.93400000000003</v>
      </c>
      <c r="BU3" s="33">
        <v>607.38</v>
      </c>
      <c r="BV3" s="33">
        <v>504.75099999999998</v>
      </c>
      <c r="BW3" s="33">
        <v>519.12199999999996</v>
      </c>
      <c r="BX3" s="33">
        <v>558.62599999999998</v>
      </c>
      <c r="BY3" s="50">
        <v>669.02300000000002</v>
      </c>
      <c r="BZ3" s="33">
        <v>2724.43</v>
      </c>
      <c r="CA3" s="33">
        <v>1420.11</v>
      </c>
      <c r="CB3" s="33">
        <v>1694.75</v>
      </c>
      <c r="CC3" s="33">
        <v>729.82799999999997</v>
      </c>
      <c r="CD3" s="33">
        <v>614.79600000000005</v>
      </c>
      <c r="CE3" s="33">
        <v>514.13800000000003</v>
      </c>
      <c r="CF3" s="33">
        <v>2.2472900000000001E-2</v>
      </c>
      <c r="CG3" s="33">
        <v>1.49742E-2</v>
      </c>
      <c r="CH3" s="33">
        <v>2.3764299999999999E-2</v>
      </c>
      <c r="CI3" s="33">
        <v>1.6646500000000002E-2</v>
      </c>
      <c r="CJ3" s="33">
        <v>0.59651799999999999</v>
      </c>
      <c r="CK3" s="33">
        <v>1.6093400000000001E-2</v>
      </c>
      <c r="CL3" s="33">
        <v>0.10757</v>
      </c>
      <c r="CM3" s="33">
        <v>0.162581</v>
      </c>
      <c r="CN3" s="33">
        <v>0.14083699999999999</v>
      </c>
      <c r="CO3" s="33">
        <v>0.21324199999999999</v>
      </c>
      <c r="CP3" s="33">
        <v>2.4166400000000001E-2</v>
      </c>
      <c r="CQ3" s="33">
        <v>5.7164100000000002E-2</v>
      </c>
      <c r="CR3" s="33">
        <v>0.121291</v>
      </c>
      <c r="CS3" s="33">
        <v>5.7689699999999997E-2</v>
      </c>
      <c r="CT3" s="33">
        <v>5.7032699999999999E-2</v>
      </c>
      <c r="CU3" s="33">
        <v>5.6813700000000002E-2</v>
      </c>
      <c r="CV3" s="33">
        <v>5.7916099999999998E-2</v>
      </c>
      <c r="CW3" s="33" t="s">
        <v>132</v>
      </c>
    </row>
    <row r="4" spans="1:112" ht="44" x14ac:dyDescent="0.25">
      <c r="A4" s="32" t="s">
        <v>134</v>
      </c>
      <c r="B4" s="33">
        <v>12280.6</v>
      </c>
      <c r="C4" s="33">
        <v>11976.7</v>
      </c>
      <c r="D4" s="33">
        <v>8789.9500000000007</v>
      </c>
      <c r="E4" s="33">
        <v>9108.1200000000008</v>
      </c>
      <c r="F4" s="33">
        <v>0.13172400000000001</v>
      </c>
      <c r="G4" s="33">
        <v>9.3670000000000003E-2</v>
      </c>
      <c r="H4" s="33">
        <v>4.5974300000000003E-2</v>
      </c>
      <c r="I4" s="33">
        <v>0.16706599999999999</v>
      </c>
      <c r="J4" s="33">
        <v>10038.700000000001</v>
      </c>
      <c r="K4" s="33">
        <v>15621.5</v>
      </c>
      <c r="L4" s="33">
        <v>16262.8</v>
      </c>
      <c r="M4" s="33">
        <v>14458.7</v>
      </c>
      <c r="N4" s="33">
        <v>15039.5</v>
      </c>
      <c r="O4" s="33">
        <v>9822.36</v>
      </c>
      <c r="P4" s="33">
        <v>10684.3</v>
      </c>
      <c r="Q4" s="33">
        <v>17335.5</v>
      </c>
      <c r="R4" s="33">
        <v>18029.7</v>
      </c>
      <c r="S4" s="33">
        <v>10783.2</v>
      </c>
      <c r="T4" s="33">
        <v>8962.19</v>
      </c>
      <c r="U4" s="33">
        <v>9729.14</v>
      </c>
      <c r="V4" s="33">
        <v>8256.17</v>
      </c>
      <c r="W4" s="33">
        <v>9008.7000000000007</v>
      </c>
      <c r="X4" s="33">
        <v>9127.14</v>
      </c>
      <c r="Y4" s="33">
        <v>9960.4599999999991</v>
      </c>
      <c r="Z4" s="33">
        <v>17067.5</v>
      </c>
      <c r="AA4" s="33">
        <v>17720.8</v>
      </c>
      <c r="AB4" s="33">
        <v>15735.1</v>
      </c>
      <c r="AC4" s="33">
        <v>16345.6</v>
      </c>
      <c r="AD4" s="33">
        <v>10623.5</v>
      </c>
      <c r="AE4" s="33">
        <v>8256.17</v>
      </c>
      <c r="AF4" s="33">
        <v>9855.9500000000007</v>
      </c>
      <c r="AG4" s="33">
        <v>8914.11</v>
      </c>
      <c r="AH4" s="33">
        <v>9723.2199999999993</v>
      </c>
      <c r="AI4" s="33">
        <v>8968.85</v>
      </c>
      <c r="AJ4" s="33">
        <v>10450.4</v>
      </c>
      <c r="AK4" s="33">
        <v>8962.19</v>
      </c>
      <c r="AL4" s="33">
        <v>9666.39</v>
      </c>
      <c r="AM4" s="33">
        <v>10450.4</v>
      </c>
      <c r="AN4" s="33">
        <v>9662.1</v>
      </c>
      <c r="AO4" s="33">
        <v>8962.19</v>
      </c>
      <c r="AP4" s="33">
        <v>9723.2199999999993</v>
      </c>
      <c r="AQ4" s="33">
        <v>17088.5</v>
      </c>
      <c r="AR4" s="33">
        <v>15039.5</v>
      </c>
      <c r="AS4" s="33">
        <v>8968.85</v>
      </c>
      <c r="AT4" s="33">
        <v>17804.5</v>
      </c>
      <c r="AU4" s="33">
        <v>17336.5</v>
      </c>
      <c r="AV4" s="33">
        <v>14458.7</v>
      </c>
      <c r="AW4" s="33">
        <v>15480.3</v>
      </c>
      <c r="AX4" s="33">
        <v>16272.2</v>
      </c>
      <c r="AY4" s="33">
        <v>9649.32</v>
      </c>
      <c r="AZ4" s="33">
        <v>16086.2</v>
      </c>
      <c r="BA4" s="33">
        <v>16690.099999999999</v>
      </c>
      <c r="BB4" s="33">
        <v>17972.400000000001</v>
      </c>
      <c r="BC4" s="33">
        <v>16390.099999999999</v>
      </c>
      <c r="BD4" s="33">
        <v>17234.400000000001</v>
      </c>
      <c r="BE4" s="33">
        <v>14458.7</v>
      </c>
      <c r="BF4" s="33">
        <v>17336.5</v>
      </c>
      <c r="BG4" s="33">
        <v>15703.7</v>
      </c>
      <c r="BH4" s="33">
        <v>15039.5</v>
      </c>
      <c r="BI4" s="33">
        <v>16690.099999999999</v>
      </c>
      <c r="BJ4" s="33">
        <v>16086.2</v>
      </c>
      <c r="BK4" s="33">
        <v>15480.3</v>
      </c>
      <c r="BL4" s="33">
        <v>9882.24</v>
      </c>
      <c r="BM4" s="33">
        <v>9290.7900000000009</v>
      </c>
      <c r="BN4" s="33">
        <v>10661.6</v>
      </c>
      <c r="BO4" s="33">
        <v>8543.8700000000008</v>
      </c>
      <c r="BP4" s="33">
        <v>8256.17</v>
      </c>
      <c r="BQ4" s="33">
        <v>15480.3</v>
      </c>
      <c r="BR4" s="50">
        <v>10788.1</v>
      </c>
      <c r="BS4" s="33">
        <v>4182.38</v>
      </c>
      <c r="BT4" s="33">
        <v>6736.22</v>
      </c>
      <c r="BU4" s="33">
        <v>10042.1</v>
      </c>
      <c r="BV4" s="33">
        <v>3528.28</v>
      </c>
      <c r="BW4" s="33">
        <v>12639.9</v>
      </c>
      <c r="BX4" s="33">
        <v>12973.6</v>
      </c>
      <c r="BY4" s="50">
        <v>14777.3</v>
      </c>
      <c r="BZ4" s="33">
        <v>27372.6</v>
      </c>
      <c r="CA4" s="33">
        <v>17978.8</v>
      </c>
      <c r="CB4" s="33">
        <v>18077.2</v>
      </c>
      <c r="CC4" s="33">
        <v>21602.400000000001</v>
      </c>
      <c r="CD4" s="33">
        <v>14112.6</v>
      </c>
      <c r="CE4" s="33">
        <v>12488.3</v>
      </c>
      <c r="CF4" s="33">
        <v>20.4558</v>
      </c>
      <c r="CG4" s="33">
        <v>19.626100000000001</v>
      </c>
      <c r="CH4" s="33">
        <v>18.212599999999998</v>
      </c>
      <c r="CI4" s="33">
        <v>19.8111</v>
      </c>
      <c r="CJ4" s="33">
        <v>20.927</v>
      </c>
      <c r="CK4" s="33">
        <v>19.6266</v>
      </c>
      <c r="CL4" s="33">
        <v>19.508700000000001</v>
      </c>
      <c r="CM4" s="33">
        <v>19.621700000000001</v>
      </c>
      <c r="CN4" s="33">
        <v>20.6448</v>
      </c>
      <c r="CO4" s="33">
        <v>20.5166</v>
      </c>
      <c r="CP4" s="33">
        <v>20.456600000000002</v>
      </c>
      <c r="CQ4" s="33">
        <v>2.1896700000000002E-2</v>
      </c>
      <c r="CR4" s="33">
        <v>4.4866200000000002E-2</v>
      </c>
      <c r="CS4" s="33">
        <v>2.2145000000000001E-2</v>
      </c>
      <c r="CT4" s="33">
        <v>2.1834699999999999E-2</v>
      </c>
      <c r="CU4" s="33">
        <v>2.1731299999999999E-2</v>
      </c>
      <c r="CV4" s="33">
        <v>2.22498E-2</v>
      </c>
      <c r="CW4" s="33" t="s">
        <v>132</v>
      </c>
    </row>
    <row r="5" spans="1:112" ht="22" x14ac:dyDescent="0.25">
      <c r="A5" s="32" t="s">
        <v>135</v>
      </c>
      <c r="B5" s="33">
        <v>12433.8</v>
      </c>
      <c r="C5" s="33">
        <v>12134.3</v>
      </c>
      <c r="D5" s="33">
        <v>8971.5400000000009</v>
      </c>
      <c r="E5" s="33">
        <v>9259.4599999999991</v>
      </c>
      <c r="F5" s="33">
        <v>2.8648199999999999</v>
      </c>
      <c r="G5" s="33">
        <v>2.0953599999999999</v>
      </c>
      <c r="H5" s="33">
        <v>0.49907699999999999</v>
      </c>
      <c r="I5" s="33">
        <v>0.361126</v>
      </c>
      <c r="J5" s="33">
        <v>11079.1</v>
      </c>
      <c r="K5" s="33">
        <v>16667.599999999999</v>
      </c>
      <c r="L5" s="33">
        <v>17218.400000000001</v>
      </c>
      <c r="M5" s="33">
        <v>15119.2</v>
      </c>
      <c r="N5" s="33">
        <v>15682.7</v>
      </c>
      <c r="O5" s="33">
        <v>10623.6</v>
      </c>
      <c r="P5" s="33">
        <v>11611.3</v>
      </c>
      <c r="Q5" s="33">
        <v>18614.599999999999</v>
      </c>
      <c r="R5" s="33">
        <v>19173.8</v>
      </c>
      <c r="S5" s="33">
        <v>11877.1</v>
      </c>
      <c r="T5" s="33">
        <v>9568.83</v>
      </c>
      <c r="U5" s="33">
        <v>10655.6</v>
      </c>
      <c r="V5" s="33">
        <v>8895.36</v>
      </c>
      <c r="W5" s="33">
        <v>9910.7900000000009</v>
      </c>
      <c r="X5" s="33">
        <v>9918.44</v>
      </c>
      <c r="Y5" s="33">
        <v>10858</v>
      </c>
      <c r="Z5" s="33">
        <v>18162</v>
      </c>
      <c r="AA5" s="33">
        <v>18708.3</v>
      </c>
      <c r="AB5" s="33">
        <v>16663.5</v>
      </c>
      <c r="AC5" s="33">
        <v>17197.7</v>
      </c>
      <c r="AD5" s="33">
        <v>11790.3</v>
      </c>
      <c r="AE5" s="33">
        <v>8895.36</v>
      </c>
      <c r="AF5" s="33">
        <v>10955.7</v>
      </c>
      <c r="AG5" s="33">
        <v>9885.99</v>
      </c>
      <c r="AH5" s="33">
        <v>10576.3</v>
      </c>
      <c r="AI5" s="33">
        <v>9729.83</v>
      </c>
      <c r="AJ5" s="33">
        <v>11320.2</v>
      </c>
      <c r="AK5" s="33">
        <v>9568.83</v>
      </c>
      <c r="AL5" s="33">
        <v>10428.799999999999</v>
      </c>
      <c r="AM5" s="33">
        <v>11320.2</v>
      </c>
      <c r="AN5" s="33">
        <v>10425.799999999999</v>
      </c>
      <c r="AO5" s="33">
        <v>9568.83</v>
      </c>
      <c r="AP5" s="33">
        <v>10576.3</v>
      </c>
      <c r="AQ5" s="33">
        <v>18433.400000000001</v>
      </c>
      <c r="AR5" s="33">
        <v>15682.7</v>
      </c>
      <c r="AS5" s="33">
        <v>9730.0300000000007</v>
      </c>
      <c r="AT5" s="33">
        <v>18998.099999999999</v>
      </c>
      <c r="AU5" s="33">
        <v>18275.7</v>
      </c>
      <c r="AV5" s="33">
        <v>15119.2</v>
      </c>
      <c r="AW5" s="33">
        <v>16368.4</v>
      </c>
      <c r="AX5" s="33">
        <v>17299.8</v>
      </c>
      <c r="AY5" s="33">
        <v>10664.5</v>
      </c>
      <c r="AZ5" s="33">
        <v>16906.099999999999</v>
      </c>
      <c r="BA5" s="33">
        <v>17723.7</v>
      </c>
      <c r="BB5" s="33">
        <v>19211.599999999999</v>
      </c>
      <c r="BC5" s="33">
        <v>17456.099999999999</v>
      </c>
      <c r="BD5" s="33">
        <v>18635</v>
      </c>
      <c r="BE5" s="33">
        <v>15119.2</v>
      </c>
      <c r="BF5" s="33">
        <v>18275.7</v>
      </c>
      <c r="BG5" s="33">
        <v>16890.599999999999</v>
      </c>
      <c r="BH5" s="33">
        <v>15682.7</v>
      </c>
      <c r="BI5" s="33">
        <v>17723.7</v>
      </c>
      <c r="BJ5" s="33">
        <v>16906.099999999999</v>
      </c>
      <c r="BK5" s="33">
        <v>16368.4</v>
      </c>
      <c r="BL5" s="33">
        <v>11016.4</v>
      </c>
      <c r="BM5" s="33">
        <v>10350.6</v>
      </c>
      <c r="BN5" s="33">
        <v>11870.5</v>
      </c>
      <c r="BO5" s="33">
        <v>9552.32</v>
      </c>
      <c r="BP5" s="33">
        <v>8895.36</v>
      </c>
      <c r="BQ5" s="33">
        <v>16368.4</v>
      </c>
      <c r="BR5" s="50">
        <v>19091</v>
      </c>
      <c r="BS5" s="33">
        <v>6417.35</v>
      </c>
      <c r="BT5" s="33">
        <v>10169.799999999999</v>
      </c>
      <c r="BU5" s="33">
        <v>15428.3</v>
      </c>
      <c r="BV5" s="33">
        <v>4940.43</v>
      </c>
      <c r="BW5" s="33">
        <v>14397.5</v>
      </c>
      <c r="BX5" s="33">
        <v>15445.5</v>
      </c>
      <c r="BY5" s="50">
        <v>17612.900000000001</v>
      </c>
      <c r="BZ5" s="33">
        <v>41981.4</v>
      </c>
      <c r="CA5" s="33">
        <v>25700.9</v>
      </c>
      <c r="CB5" s="33">
        <v>29838.400000000001</v>
      </c>
      <c r="CC5" s="33">
        <v>24931.8</v>
      </c>
      <c r="CD5" s="33">
        <v>16669.900000000001</v>
      </c>
      <c r="CE5" s="33">
        <v>14174.6</v>
      </c>
      <c r="CF5" s="33">
        <v>21.132000000000001</v>
      </c>
      <c r="CG5" s="33">
        <v>20.035</v>
      </c>
      <c r="CH5" s="33">
        <v>18.666599999999999</v>
      </c>
      <c r="CI5" s="33">
        <v>20.279599999999999</v>
      </c>
      <c r="CJ5" s="33">
        <v>23.067799999999998</v>
      </c>
      <c r="CK5" s="33">
        <v>20.028700000000001</v>
      </c>
      <c r="CL5" s="33">
        <v>20.0837</v>
      </c>
      <c r="CM5" s="33">
        <v>20.232700000000001</v>
      </c>
      <c r="CN5" s="33">
        <v>21.3565</v>
      </c>
      <c r="CO5" s="33">
        <v>21.265799999999999</v>
      </c>
      <c r="CP5" s="33">
        <v>21.122499999999999</v>
      </c>
      <c r="CQ5" s="33">
        <v>0.35569400000000001</v>
      </c>
      <c r="CR5" s="33">
        <v>0.59218499999999996</v>
      </c>
      <c r="CS5" s="33">
        <v>0.37513400000000002</v>
      </c>
      <c r="CT5" s="33">
        <v>0.35083399999999998</v>
      </c>
      <c r="CU5" s="33">
        <v>0.34273399999999998</v>
      </c>
      <c r="CV5" s="33">
        <v>0.37819799999999998</v>
      </c>
      <c r="CW5" s="33" t="s">
        <v>132</v>
      </c>
    </row>
    <row r="6" spans="1:112" ht="44" x14ac:dyDescent="0.25">
      <c r="A6" s="32" t="s">
        <v>136</v>
      </c>
      <c r="B6" s="33">
        <v>68204.100000000006</v>
      </c>
      <c r="C6" s="33">
        <v>66142.600000000006</v>
      </c>
      <c r="D6" s="33">
        <v>61050.1</v>
      </c>
      <c r="E6" s="33">
        <v>52534.5</v>
      </c>
      <c r="F6" s="33">
        <v>341.476</v>
      </c>
      <c r="G6" s="33">
        <v>241.17765</v>
      </c>
      <c r="H6" s="33">
        <v>52.846299999999999</v>
      </c>
      <c r="I6" s="33">
        <v>32.573</v>
      </c>
      <c r="J6" s="33">
        <v>191751</v>
      </c>
      <c r="K6" s="33">
        <v>205958</v>
      </c>
      <c r="L6" s="33">
        <v>195101</v>
      </c>
      <c r="M6" s="33">
        <v>136892</v>
      </c>
      <c r="N6" s="33">
        <v>136935</v>
      </c>
      <c r="O6" s="33">
        <v>147703</v>
      </c>
      <c r="P6" s="33">
        <v>172878</v>
      </c>
      <c r="Q6" s="33">
        <v>255381</v>
      </c>
      <c r="R6" s="33">
        <v>237933</v>
      </c>
      <c r="S6" s="33">
        <v>195128</v>
      </c>
      <c r="T6" s="33">
        <v>107713</v>
      </c>
      <c r="U6" s="33">
        <v>161264</v>
      </c>
      <c r="V6" s="33">
        <v>116847</v>
      </c>
      <c r="W6" s="33">
        <v>162058</v>
      </c>
      <c r="X6" s="33">
        <v>150478</v>
      </c>
      <c r="Y6" s="33">
        <v>172933</v>
      </c>
      <c r="Z6" s="33">
        <v>229268</v>
      </c>
      <c r="AA6" s="33">
        <v>215926</v>
      </c>
      <c r="AB6" s="33">
        <v>194145</v>
      </c>
      <c r="AC6" s="33">
        <v>185285</v>
      </c>
      <c r="AD6" s="33">
        <v>197774</v>
      </c>
      <c r="AE6" s="33">
        <v>116846</v>
      </c>
      <c r="AF6" s="33">
        <v>192530</v>
      </c>
      <c r="AG6" s="33">
        <v>165479</v>
      </c>
      <c r="AH6" s="33">
        <v>163540</v>
      </c>
      <c r="AI6" s="33">
        <v>144187</v>
      </c>
      <c r="AJ6" s="33">
        <v>161575</v>
      </c>
      <c r="AK6" s="33">
        <v>107712</v>
      </c>
      <c r="AL6" s="33">
        <v>140158</v>
      </c>
      <c r="AM6" s="33">
        <v>161575</v>
      </c>
      <c r="AN6" s="33">
        <v>140368</v>
      </c>
      <c r="AO6" s="33">
        <v>107712</v>
      </c>
      <c r="AP6" s="33">
        <v>163540</v>
      </c>
      <c r="AQ6" s="33">
        <v>253687</v>
      </c>
      <c r="AR6" s="33">
        <v>136933</v>
      </c>
      <c r="AS6" s="33">
        <v>144234</v>
      </c>
      <c r="AT6" s="33">
        <v>233908</v>
      </c>
      <c r="AU6" s="33">
        <v>202484</v>
      </c>
      <c r="AV6" s="33">
        <v>136889</v>
      </c>
      <c r="AW6" s="33">
        <v>183841</v>
      </c>
      <c r="AX6" s="33">
        <v>197320</v>
      </c>
      <c r="AY6" s="33">
        <v>167410</v>
      </c>
      <c r="AZ6" s="33">
        <v>176216</v>
      </c>
      <c r="BA6" s="33">
        <v>213941</v>
      </c>
      <c r="BB6" s="33">
        <v>239843</v>
      </c>
      <c r="BC6" s="33">
        <v>201821</v>
      </c>
      <c r="BD6" s="33">
        <v>261075</v>
      </c>
      <c r="BE6" s="33">
        <v>136889</v>
      </c>
      <c r="BF6" s="33">
        <v>202484</v>
      </c>
      <c r="BG6" s="33">
        <v>217083</v>
      </c>
      <c r="BH6" s="33">
        <v>136933</v>
      </c>
      <c r="BI6" s="33">
        <v>213941</v>
      </c>
      <c r="BJ6" s="33">
        <v>176216</v>
      </c>
      <c r="BK6" s="33">
        <v>183841</v>
      </c>
      <c r="BL6" s="33">
        <v>196164</v>
      </c>
      <c r="BM6" s="33">
        <v>171322</v>
      </c>
      <c r="BN6" s="33">
        <v>202478</v>
      </c>
      <c r="BO6" s="33">
        <v>168274</v>
      </c>
      <c r="BP6" s="33">
        <v>116846</v>
      </c>
      <c r="BQ6" s="33">
        <v>183841</v>
      </c>
      <c r="BR6" s="50">
        <v>711875</v>
      </c>
      <c r="BS6" s="33">
        <v>254496</v>
      </c>
      <c r="BT6" s="33">
        <v>340364</v>
      </c>
      <c r="BU6" s="33">
        <v>478785</v>
      </c>
      <c r="BV6" s="33">
        <v>127734</v>
      </c>
      <c r="BW6" s="33">
        <v>275217</v>
      </c>
      <c r="BX6" s="33">
        <v>325132</v>
      </c>
      <c r="BY6" s="50">
        <v>372190</v>
      </c>
      <c r="BZ6" s="33">
        <v>1531200</v>
      </c>
      <c r="CA6" s="33">
        <v>962018</v>
      </c>
      <c r="CB6" s="33">
        <v>1328730</v>
      </c>
      <c r="CC6" s="33">
        <v>422186</v>
      </c>
      <c r="CD6" s="33">
        <v>344545</v>
      </c>
      <c r="CE6" s="33">
        <v>257409</v>
      </c>
      <c r="CF6" s="33">
        <v>168.982</v>
      </c>
      <c r="CG6" s="33">
        <v>126.015</v>
      </c>
      <c r="CH6" s="33">
        <v>141.12</v>
      </c>
      <c r="CI6" s="33">
        <v>135.59700000000001</v>
      </c>
      <c r="CJ6" s="33">
        <v>293.66699999999997</v>
      </c>
      <c r="CK6" s="33">
        <v>124.931</v>
      </c>
      <c r="CL6" s="33">
        <v>121.56399999999999</v>
      </c>
      <c r="CM6" s="33">
        <v>126.49299999999999</v>
      </c>
      <c r="CN6" s="33">
        <v>139.191</v>
      </c>
      <c r="CO6" s="33">
        <v>145.44399999999999</v>
      </c>
      <c r="CP6" s="33">
        <v>167.35</v>
      </c>
      <c r="CQ6" s="33">
        <v>80.745699999999999</v>
      </c>
      <c r="CR6" s="33">
        <v>228.17599999999999</v>
      </c>
      <c r="CS6" s="33">
        <v>106.887</v>
      </c>
      <c r="CT6" s="33">
        <v>74.210499999999996</v>
      </c>
      <c r="CU6" s="33">
        <v>63.318300000000001</v>
      </c>
      <c r="CV6" s="33">
        <v>122.10899999999999</v>
      </c>
      <c r="CW6" s="33" t="s">
        <v>137</v>
      </c>
    </row>
    <row r="7" spans="1:112" ht="22" x14ac:dyDescent="0.25">
      <c r="A7" s="32" t="s">
        <v>138</v>
      </c>
      <c r="B7" s="33">
        <v>8.7955699999999997</v>
      </c>
      <c r="C7" s="33">
        <v>9.3476999999999997</v>
      </c>
      <c r="D7" s="33">
        <v>10.009600000000001</v>
      </c>
      <c r="E7" s="33">
        <v>9.1341099999999997</v>
      </c>
      <c r="F7" s="33">
        <v>0.16278999999999999</v>
      </c>
      <c r="G7" s="33">
        <v>0.11755</v>
      </c>
      <c r="H7" s="33">
        <v>2.2947499999999999E-2</v>
      </c>
      <c r="I7" s="33">
        <v>1.119E-2</v>
      </c>
      <c r="J7" s="33">
        <v>43.993600000000001</v>
      </c>
      <c r="K7" s="33">
        <v>57.581699999999998</v>
      </c>
      <c r="L7" s="33">
        <v>41.771099999999997</v>
      </c>
      <c r="M7" s="33">
        <v>37.207299999999996</v>
      </c>
      <c r="N7" s="33">
        <v>31.665700000000001</v>
      </c>
      <c r="O7" s="33">
        <v>43.966299999999997</v>
      </c>
      <c r="P7" s="33">
        <v>50.334800000000001</v>
      </c>
      <c r="Q7" s="33">
        <v>69.209100000000007</v>
      </c>
      <c r="R7" s="33">
        <v>46.96</v>
      </c>
      <c r="S7" s="33">
        <v>60.006</v>
      </c>
      <c r="T7" s="33">
        <v>34.477699999999999</v>
      </c>
      <c r="U7" s="33">
        <v>51.6248</v>
      </c>
      <c r="V7" s="33">
        <v>31.178799999999999</v>
      </c>
      <c r="W7" s="33">
        <v>40.104399999999998</v>
      </c>
      <c r="X7" s="33">
        <v>34.643300000000004</v>
      </c>
      <c r="Y7" s="33">
        <v>37.858400000000003</v>
      </c>
      <c r="Z7" s="33">
        <v>58.605800000000002</v>
      </c>
      <c r="AA7" s="33">
        <v>40.311799999999998</v>
      </c>
      <c r="AB7" s="33">
        <v>50.271900000000002</v>
      </c>
      <c r="AC7" s="33">
        <v>36.419199999999996</v>
      </c>
      <c r="AD7" s="33">
        <v>63.624299999999998</v>
      </c>
      <c r="AE7" s="33">
        <v>31.178799999999999</v>
      </c>
      <c r="AF7" s="33">
        <v>45.577199999999998</v>
      </c>
      <c r="AG7" s="33">
        <v>41.742800000000003</v>
      </c>
      <c r="AH7" s="33">
        <v>36.879300000000001</v>
      </c>
      <c r="AI7" s="33">
        <v>33.975000000000001</v>
      </c>
      <c r="AJ7" s="33">
        <v>47.557000000000002</v>
      </c>
      <c r="AK7" s="33">
        <v>34.477699999999999</v>
      </c>
      <c r="AL7" s="33">
        <v>42.082700000000003</v>
      </c>
      <c r="AM7" s="33">
        <v>47.557000000000002</v>
      </c>
      <c r="AN7" s="33">
        <v>41.939700000000002</v>
      </c>
      <c r="AO7" s="33">
        <v>34.477699999999999</v>
      </c>
      <c r="AP7" s="33">
        <v>36.879300000000001</v>
      </c>
      <c r="AQ7" s="33">
        <v>72.372399999999999</v>
      </c>
      <c r="AR7" s="33">
        <v>31.665700000000001</v>
      </c>
      <c r="AS7" s="33">
        <v>33.982100000000003</v>
      </c>
      <c r="AT7" s="33">
        <v>48.004600000000003</v>
      </c>
      <c r="AU7" s="33">
        <v>39.102499999999999</v>
      </c>
      <c r="AV7" s="33">
        <v>37.207299999999996</v>
      </c>
      <c r="AW7" s="33">
        <v>48.281100000000002</v>
      </c>
      <c r="AX7" s="33">
        <v>43.424500000000002</v>
      </c>
      <c r="AY7" s="33">
        <v>55.956000000000003</v>
      </c>
      <c r="AZ7" s="33">
        <v>35.613300000000002</v>
      </c>
      <c r="BA7" s="33">
        <v>55.600299999999997</v>
      </c>
      <c r="BB7" s="33">
        <v>49.264699999999998</v>
      </c>
      <c r="BC7" s="33">
        <v>44.449399999999997</v>
      </c>
      <c r="BD7" s="33">
        <v>75.108199999999997</v>
      </c>
      <c r="BE7" s="33">
        <v>37.207299999999996</v>
      </c>
      <c r="BF7" s="33">
        <v>39.102499999999999</v>
      </c>
      <c r="BG7" s="33">
        <v>64.434200000000004</v>
      </c>
      <c r="BH7" s="33">
        <v>31.665700000000001</v>
      </c>
      <c r="BI7" s="33">
        <v>55.600299999999997</v>
      </c>
      <c r="BJ7" s="33">
        <v>35.613300000000002</v>
      </c>
      <c r="BK7" s="33">
        <v>48.281100000000002</v>
      </c>
      <c r="BL7" s="33">
        <v>46.3964</v>
      </c>
      <c r="BM7" s="33">
        <v>57.946300000000001</v>
      </c>
      <c r="BN7" s="33">
        <v>65.637799999999999</v>
      </c>
      <c r="BO7" s="33">
        <v>42.702599999999997</v>
      </c>
      <c r="BP7" s="33">
        <v>31.178799999999999</v>
      </c>
      <c r="BQ7" s="33">
        <v>48.281080000000003</v>
      </c>
      <c r="BR7" s="50">
        <v>359.69799999999998</v>
      </c>
      <c r="BS7" s="33">
        <v>135.114</v>
      </c>
      <c r="BT7" s="33">
        <v>176.98500000000001</v>
      </c>
      <c r="BU7" s="33">
        <v>236.197</v>
      </c>
      <c r="BV7" s="33">
        <v>51.186</v>
      </c>
      <c r="BW7" s="33">
        <v>74.137699999999995</v>
      </c>
      <c r="BX7" s="33">
        <v>123.601</v>
      </c>
      <c r="BY7" s="50">
        <v>141.08099999999999</v>
      </c>
      <c r="BZ7" s="33">
        <v>681.54</v>
      </c>
      <c r="CA7" s="33">
        <v>345.23500000000001</v>
      </c>
      <c r="CB7" s="33">
        <v>561.67700000000002</v>
      </c>
      <c r="CC7" s="33">
        <v>163.10300000000001</v>
      </c>
      <c r="CD7" s="33">
        <v>129.02699999999999</v>
      </c>
      <c r="CE7" s="33">
        <v>68.538899999999998</v>
      </c>
      <c r="CF7" s="33">
        <v>3.9854800000000003E-2</v>
      </c>
      <c r="CG7" s="33">
        <v>2.48068E-2</v>
      </c>
      <c r="CH7" s="33">
        <v>2.71588E-2</v>
      </c>
      <c r="CI7" s="33">
        <v>2.81625E-2</v>
      </c>
      <c r="CJ7" s="33">
        <v>0.102427</v>
      </c>
      <c r="CK7" s="33">
        <v>2.44271E-2</v>
      </c>
      <c r="CL7" s="33">
        <v>3.1265899999999999E-2</v>
      </c>
      <c r="CM7" s="33">
        <v>2.8917700000000001E-2</v>
      </c>
      <c r="CN7" s="33">
        <v>3.8520699999999998E-2</v>
      </c>
      <c r="CO7" s="33">
        <v>3.4254199999999999E-2</v>
      </c>
      <c r="CP7" s="33">
        <v>3.9285399999999998E-2</v>
      </c>
      <c r="CQ7" s="33">
        <v>5.1282399999999999E-2</v>
      </c>
      <c r="CR7" s="33">
        <v>8.1487699999999996E-2</v>
      </c>
      <c r="CS7" s="33">
        <v>7.3396299999999998E-2</v>
      </c>
      <c r="CT7" s="33">
        <v>4.57539E-2</v>
      </c>
      <c r="CU7" s="33">
        <v>3.6539799999999997E-2</v>
      </c>
      <c r="CV7" s="33">
        <v>8.8009199999999996E-2</v>
      </c>
      <c r="CW7" s="33" t="s">
        <v>139</v>
      </c>
    </row>
    <row r="8" spans="1:112" ht="22" x14ac:dyDescent="0.25">
      <c r="A8" s="32" t="s">
        <v>140</v>
      </c>
      <c r="B8" s="33">
        <v>11.1218</v>
      </c>
      <c r="C8" s="33">
        <v>11.269600000000001</v>
      </c>
      <c r="D8" s="33">
        <v>13.359</v>
      </c>
      <c r="E8" s="33">
        <v>10.8307</v>
      </c>
      <c r="F8" s="33">
        <v>0.18210799999999999</v>
      </c>
      <c r="G8" s="33">
        <v>0.13167000000000001</v>
      </c>
      <c r="H8" s="33">
        <v>2.5024100000000001E-2</v>
      </c>
      <c r="I8" s="33">
        <v>1.23415E-2</v>
      </c>
      <c r="J8" s="33">
        <v>53.607199999999999</v>
      </c>
      <c r="K8" s="33">
        <v>65.461200000000005</v>
      </c>
      <c r="L8" s="33">
        <v>49.292200000000001</v>
      </c>
      <c r="M8" s="33">
        <v>42.529600000000002</v>
      </c>
      <c r="N8" s="33">
        <v>37.307499999999997</v>
      </c>
      <c r="O8" s="33">
        <v>49.990099999999998</v>
      </c>
      <c r="P8" s="33">
        <v>57.246400000000001</v>
      </c>
      <c r="Q8" s="33">
        <v>78.797200000000004</v>
      </c>
      <c r="R8" s="33">
        <v>55.785899999999998</v>
      </c>
      <c r="S8" s="33">
        <v>67.878299999999996</v>
      </c>
      <c r="T8" s="33">
        <v>39.172800000000002</v>
      </c>
      <c r="U8" s="33">
        <v>58.326700000000002</v>
      </c>
      <c r="V8" s="33">
        <v>38.219799999999999</v>
      </c>
      <c r="W8" s="33">
        <v>48.719200000000001</v>
      </c>
      <c r="X8" s="33">
        <v>42.628100000000003</v>
      </c>
      <c r="Y8" s="33">
        <v>46.652700000000003</v>
      </c>
      <c r="Z8" s="33">
        <v>67.084299999999999</v>
      </c>
      <c r="AA8" s="33">
        <v>48.271099999999997</v>
      </c>
      <c r="AB8" s="33">
        <v>57.528500000000001</v>
      </c>
      <c r="AC8" s="33">
        <v>43.427799999999998</v>
      </c>
      <c r="AD8" s="33">
        <v>71.760900000000007</v>
      </c>
      <c r="AE8" s="33">
        <v>38.219799999999999</v>
      </c>
      <c r="AF8" s="33">
        <v>55.407499999999999</v>
      </c>
      <c r="AG8" s="33">
        <v>50.602499999999999</v>
      </c>
      <c r="AH8" s="33">
        <v>45.410699999999999</v>
      </c>
      <c r="AI8" s="33">
        <v>41.781199999999998</v>
      </c>
      <c r="AJ8" s="33">
        <v>54.089599999999997</v>
      </c>
      <c r="AK8" s="33">
        <v>39.172800000000002</v>
      </c>
      <c r="AL8" s="33">
        <v>47.8536</v>
      </c>
      <c r="AM8" s="33">
        <v>54.089599999999997</v>
      </c>
      <c r="AN8" s="33">
        <v>47.737499999999997</v>
      </c>
      <c r="AO8" s="33">
        <v>39.172800000000002</v>
      </c>
      <c r="AP8" s="33">
        <v>45.410699999999999</v>
      </c>
      <c r="AQ8" s="33">
        <v>82.078800000000001</v>
      </c>
      <c r="AR8" s="33">
        <v>37.307499999999997</v>
      </c>
      <c r="AS8" s="33">
        <v>41.793199999999999</v>
      </c>
      <c r="AT8" s="33">
        <v>56.813299999999998</v>
      </c>
      <c r="AU8" s="33">
        <v>46.685299999999998</v>
      </c>
      <c r="AV8" s="33">
        <v>42.529600000000002</v>
      </c>
      <c r="AW8" s="33">
        <v>55.204099999999997</v>
      </c>
      <c r="AX8" s="33">
        <v>51.104900000000001</v>
      </c>
      <c r="AY8" s="33">
        <v>63.021999999999998</v>
      </c>
      <c r="AZ8" s="33">
        <v>42.366999999999997</v>
      </c>
      <c r="BA8" s="33">
        <v>63.581400000000002</v>
      </c>
      <c r="BB8" s="33">
        <v>58.321399999999997</v>
      </c>
      <c r="BC8" s="33">
        <v>52.326000000000001</v>
      </c>
      <c r="BD8" s="33">
        <v>85.144599999999997</v>
      </c>
      <c r="BE8" s="33">
        <v>42.529600000000002</v>
      </c>
      <c r="BF8" s="33">
        <v>46.685299999999998</v>
      </c>
      <c r="BG8" s="33">
        <v>72.927499999999995</v>
      </c>
      <c r="BH8" s="33">
        <v>37.307499999999997</v>
      </c>
      <c r="BI8" s="33">
        <v>63.581400000000002</v>
      </c>
      <c r="BJ8" s="33">
        <v>42.366999999999997</v>
      </c>
      <c r="BK8" s="33">
        <v>55.204099999999997</v>
      </c>
      <c r="BL8" s="33">
        <v>56.417400000000001</v>
      </c>
      <c r="BM8" s="33">
        <v>65.27</v>
      </c>
      <c r="BN8" s="33">
        <v>73.995099999999994</v>
      </c>
      <c r="BO8" s="33">
        <v>51.785600000000002</v>
      </c>
      <c r="BP8" s="33">
        <v>38.219799999999999</v>
      </c>
      <c r="BQ8" s="33">
        <v>55.204090000000001</v>
      </c>
      <c r="BR8" s="50">
        <v>411.16300000000001</v>
      </c>
      <c r="BS8" s="33">
        <v>151.83099999999999</v>
      </c>
      <c r="BT8" s="33">
        <v>197.01400000000001</v>
      </c>
      <c r="BU8" s="33">
        <v>269.416</v>
      </c>
      <c r="BV8" s="33">
        <v>58.679099999999998</v>
      </c>
      <c r="BW8" s="33">
        <v>89.961500000000001</v>
      </c>
      <c r="BX8" s="33">
        <v>139.209</v>
      </c>
      <c r="BY8" s="50">
        <v>159.67500000000001</v>
      </c>
      <c r="BZ8" s="33">
        <v>767.94600000000003</v>
      </c>
      <c r="CA8" s="33">
        <v>398.05599999999998</v>
      </c>
      <c r="CB8" s="33">
        <v>638.31200000000001</v>
      </c>
      <c r="CC8" s="33">
        <v>183.24799999999999</v>
      </c>
      <c r="CD8" s="33">
        <v>145.47900000000001</v>
      </c>
      <c r="CE8" s="33">
        <v>83.915999999999997</v>
      </c>
      <c r="CF8" s="33">
        <v>4.9263700000000001E-2</v>
      </c>
      <c r="CG8" s="33">
        <v>2.9526799999999999E-2</v>
      </c>
      <c r="CH8" s="33">
        <v>3.2400100000000001E-2</v>
      </c>
      <c r="CI8" s="33">
        <v>3.3928199999999999E-2</v>
      </c>
      <c r="CJ8" s="33">
        <v>0.115414</v>
      </c>
      <c r="CK8" s="33">
        <v>2.9123799999999998E-2</v>
      </c>
      <c r="CL8" s="33">
        <v>3.4874500000000003E-2</v>
      </c>
      <c r="CM8" s="33">
        <v>3.2744500000000003E-2</v>
      </c>
      <c r="CN8" s="33">
        <v>4.2920399999999997E-2</v>
      </c>
      <c r="CO8" s="33">
        <v>3.94539E-2</v>
      </c>
      <c r="CP8" s="33">
        <v>4.8659399999999998E-2</v>
      </c>
      <c r="CQ8" s="33">
        <v>5.5491199999999997E-2</v>
      </c>
      <c r="CR8" s="33">
        <v>9.2646800000000001E-2</v>
      </c>
      <c r="CS8" s="33">
        <v>7.9979700000000001E-2</v>
      </c>
      <c r="CT8" s="33">
        <v>4.9369099999999999E-2</v>
      </c>
      <c r="CU8" s="33">
        <v>3.9165600000000002E-2</v>
      </c>
      <c r="CV8" s="33">
        <v>9.4752000000000003E-2</v>
      </c>
      <c r="CW8" s="33" t="s">
        <v>141</v>
      </c>
    </row>
    <row r="9" spans="1:112" ht="21" x14ac:dyDescent="0.25">
      <c r="BW9" s="33"/>
      <c r="BX9" s="33"/>
      <c r="BZ9" s="33"/>
      <c r="CA9" s="33"/>
      <c r="CB9" s="33"/>
      <c r="CC9" s="33"/>
      <c r="CD9" s="33"/>
      <c r="CE9" s="33"/>
      <c r="CW9" s="33"/>
    </row>
    <row r="12" spans="1:112" x14ac:dyDescent="0.2">
      <c r="CK12" s="54"/>
      <c r="CL12" s="54"/>
      <c r="CM12" s="54"/>
      <c r="CN12" s="54"/>
      <c r="CO12" s="54"/>
      <c r="CP12" s="54"/>
    </row>
    <row r="14" spans="1:112" x14ac:dyDescent="0.2">
      <c r="CK14" s="54"/>
    </row>
    <row r="15" spans="1:112" x14ac:dyDescent="0.2">
      <c r="CK15" s="54"/>
    </row>
  </sheetData>
  <pageMargins left="0.7" right="0.7" top="0.78740157499999996" bottom="0.78740157499999996" header="0.3" footer="0.3"/>
  <pageSetup paperSize="9" orientation="portrait" horizontalDpi="0" verticalDpi="0"/>
  <extLst>
    <ext xmlns:x14="http://schemas.microsoft.com/office/spreadsheetml/2009/9/main" uri="{78C0D931-6437-407d-A8EE-F0AAD7539E65}">
      <x14:conditionalFormattings>
        <x14:conditionalFormatting xmlns:xm="http://schemas.microsoft.com/office/excel/2006/main">
          <x14:cfRule type="expression" priority="24" id="{538988DE-A11E-C742-8151-1EB7F527668B}">
            <xm:f>A$1='Faktoren Prozessketten'!K$2</xm:f>
            <x14:dxf>
              <font>
                <color rgb="FF006100"/>
              </font>
              <fill>
                <patternFill>
                  <bgColor rgb="FFC6EFCE"/>
                </patternFill>
              </fill>
            </x14:dxf>
          </x14:cfRule>
          <xm:sqref>A1:BX1</xm:sqref>
        </x14:conditionalFormatting>
        <x14:conditionalFormatting xmlns:xm="http://schemas.microsoft.com/office/excel/2006/main">
          <x14:cfRule type="expression" priority="32" id="{538988DE-A11E-C742-8151-1EB7F527668B}">
            <xm:f>BR$1='Faktoren Prozessketten'!CC$2</xm:f>
            <x14:dxf>
              <font>
                <color rgb="FF006100"/>
              </font>
              <fill>
                <patternFill>
                  <bgColor rgb="FFC6EFCE"/>
                </patternFill>
              </fill>
            </x14:dxf>
          </x14:cfRule>
          <xm:sqref>BR1 BT1 BV1:BW1 BY1</xm:sqref>
        </x14:conditionalFormatting>
        <x14:conditionalFormatting xmlns:xm="http://schemas.microsoft.com/office/excel/2006/main">
          <x14:cfRule type="expression" priority="15" id="{538988DE-A11E-C742-8151-1EB7F527668B}">
            <xm:f>BS$1='Faktoren Prozessketten'!CB$2</xm:f>
            <x14:dxf>
              <font>
                <color rgb="FF006100"/>
              </font>
              <fill>
                <patternFill>
                  <bgColor rgb="FFC6EFCE"/>
                </patternFill>
              </fill>
            </x14:dxf>
          </x14:cfRule>
          <xm:sqref>BS1 BU1:BV1</xm:sqref>
        </x14:conditionalFormatting>
        <x14:conditionalFormatting xmlns:xm="http://schemas.microsoft.com/office/excel/2006/main">
          <x14:cfRule type="expression" priority="23" id="{538988DE-A11E-C742-8151-1EB7F527668B}">
            <xm:f>BX$1='Faktoren Prozessketten'!CJ$2</xm:f>
            <x14:dxf>
              <font>
                <color rgb="FF006100"/>
              </font>
              <fill>
                <patternFill>
                  <bgColor rgb="FFC6EFCE"/>
                </patternFill>
              </fill>
            </x14:dxf>
          </x14:cfRule>
          <xm:sqref>BX1:CC1 CU1:DH1</xm:sqref>
        </x14:conditionalFormatting>
        <x14:conditionalFormatting xmlns:xm="http://schemas.microsoft.com/office/excel/2006/main">
          <x14:cfRule type="expression" priority="30" id="{538988DE-A11E-C742-8151-1EB7F527668B}">
            <xm:f>BZ$1='Faktoren Prozessketten'!CM$2</xm:f>
            <x14:dxf>
              <font>
                <color rgb="FF006100"/>
              </font>
              <fill>
                <patternFill>
                  <bgColor rgb="FFC6EFCE"/>
                </patternFill>
              </fill>
            </x14:dxf>
          </x14:cfRule>
          <xm:sqref>BZ1:CB1 CT1:DH1</xm:sqref>
        </x14:conditionalFormatting>
        <x14:conditionalFormatting xmlns:xm="http://schemas.microsoft.com/office/excel/2006/main">
          <x14:cfRule type="expression" priority="59" id="{538988DE-A11E-C742-8151-1EB7F527668B}">
            <xm:f>CC$1='Faktoren Prozessketten'!CR$2</xm:f>
            <x14:dxf>
              <font>
                <color rgb="FF006100"/>
              </font>
              <fill>
                <patternFill>
                  <bgColor rgb="FFC6EFCE"/>
                </patternFill>
              </fill>
            </x14:dxf>
          </x14:cfRule>
          <xm:sqref>CC1:CQ1</xm:sqref>
        </x14:conditionalFormatting>
        <x14:conditionalFormatting xmlns:xm="http://schemas.microsoft.com/office/excel/2006/main">
          <x14:cfRule type="expression" priority="60" id="{538988DE-A11E-C742-8151-1EB7F527668B}">
            <xm:f>CD$1='Faktoren Prozessketten'!CR$2</xm:f>
            <x14:dxf>
              <font>
                <color rgb="FF006100"/>
              </font>
              <fill>
                <patternFill>
                  <bgColor rgb="FFC6EFCE"/>
                </patternFill>
              </fill>
            </x14:dxf>
          </x14:cfRule>
          <xm:sqref>CD1:CR1</xm:sqref>
        </x14:conditionalFormatting>
        <x14:conditionalFormatting xmlns:xm="http://schemas.microsoft.com/office/excel/2006/main">
          <x14:cfRule type="expression" priority="89" id="{538988DE-A11E-C742-8151-1EB7F527668B}">
            <xm:f>CR$1='Faktoren Prozessketten'!#REF!</xm:f>
            <x14:dxf>
              <font>
                <color rgb="FF006100"/>
              </font>
              <fill>
                <patternFill>
                  <bgColor rgb="FFC6EFCE"/>
                </patternFill>
              </fill>
            </x14:dxf>
          </x14:cfRule>
          <xm:sqref>CR1:CS1</xm:sqref>
        </x14:conditionalFormatting>
        <x14:conditionalFormatting xmlns:xm="http://schemas.microsoft.com/office/excel/2006/main">
          <x14:cfRule type="expression" priority="90" id="{538988DE-A11E-C742-8151-1EB7F527668B}">
            <xm:f>CS$1='Faktoren Prozessketten'!#REF!</xm:f>
            <x14:dxf>
              <font>
                <color rgb="FF006100"/>
              </font>
              <fill>
                <patternFill>
                  <bgColor rgb="FFC6EFCE"/>
                </patternFill>
              </fill>
            </x14:dxf>
          </x14:cfRule>
          <xm:sqref>CS1:CT1</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2F332-1B38-E54A-A23F-E3153BFDE237}">
  <dimension ref="A1:DH16"/>
  <sheetViews>
    <sheetView zoomScale="80" zoomScaleNormal="80" workbookViewId="0">
      <pane xSplit="1" ySplit="1" topLeftCell="BW2" activePane="bottomRight" state="frozenSplit"/>
      <selection pane="topRight" activeCell="O1" sqref="O1"/>
      <selection pane="bottomLeft" activeCell="A24" sqref="A24"/>
      <selection pane="bottomRight" activeCell="CC1" sqref="CC1"/>
    </sheetView>
  </sheetViews>
  <sheetFormatPr baseColWidth="10" defaultRowHeight="16" x14ac:dyDescent="0.2"/>
  <cols>
    <col min="1" max="1" width="43.83203125" style="5" customWidth="1"/>
    <col min="2" max="9" width="20.1640625" style="5" customWidth="1"/>
    <col min="10" max="69" width="16" customWidth="1"/>
    <col min="70" max="74" width="13.6640625" customWidth="1"/>
    <col min="75" max="76" width="14.33203125" customWidth="1"/>
    <col min="77" max="77" width="18.6640625" customWidth="1"/>
    <col min="78" max="83" width="14.33203125" customWidth="1"/>
    <col min="84" max="85" width="16.1640625" customWidth="1"/>
    <col min="86" max="87" width="16.33203125" customWidth="1"/>
    <col min="88" max="88" width="15.33203125" customWidth="1"/>
    <col min="89" max="89" width="20.1640625" customWidth="1"/>
    <col min="90" max="93" width="15.33203125" customWidth="1"/>
    <col min="94" max="94" width="19.1640625" customWidth="1"/>
    <col min="95" max="100" width="14.1640625" customWidth="1"/>
    <col min="101" max="101" width="14.33203125" customWidth="1"/>
  </cols>
  <sheetData>
    <row r="1" spans="1:112" ht="264" x14ac:dyDescent="0.25">
      <c r="A1" s="31" t="s">
        <v>127</v>
      </c>
      <c r="B1" s="31" t="s">
        <v>57</v>
      </c>
      <c r="C1" s="31" t="s">
        <v>128</v>
      </c>
      <c r="D1" s="31" t="s">
        <v>122</v>
      </c>
      <c r="E1" s="31" t="s">
        <v>123</v>
      </c>
      <c r="F1" s="31" t="s">
        <v>113</v>
      </c>
      <c r="G1" s="31" t="s">
        <v>287</v>
      </c>
      <c r="H1" s="31" t="s">
        <v>114</v>
      </c>
      <c r="I1" s="31" t="s">
        <v>129</v>
      </c>
      <c r="J1" s="31" t="s">
        <v>117</v>
      </c>
      <c r="K1" s="31" t="s">
        <v>116</v>
      </c>
      <c r="L1" s="31" t="s">
        <v>84</v>
      </c>
      <c r="M1" s="31" t="s">
        <v>192</v>
      </c>
      <c r="N1" s="31" t="s">
        <v>193</v>
      </c>
      <c r="O1" s="31" t="s">
        <v>112</v>
      </c>
      <c r="P1" s="31" t="s">
        <v>111</v>
      </c>
      <c r="Q1" s="31" t="s">
        <v>115</v>
      </c>
      <c r="R1" s="31" t="s">
        <v>83</v>
      </c>
      <c r="S1" s="31" t="s">
        <v>108</v>
      </c>
      <c r="T1" s="31" t="s">
        <v>110</v>
      </c>
      <c r="U1" s="31" t="s">
        <v>109</v>
      </c>
      <c r="V1" s="31" t="s">
        <v>119</v>
      </c>
      <c r="W1" s="31" t="s">
        <v>118</v>
      </c>
      <c r="X1" s="31" t="s">
        <v>121</v>
      </c>
      <c r="Y1" s="31" t="s">
        <v>120</v>
      </c>
      <c r="Z1" s="31" t="s">
        <v>194</v>
      </c>
      <c r="AA1" s="31" t="s">
        <v>195</v>
      </c>
      <c r="AB1" s="31" t="s">
        <v>196</v>
      </c>
      <c r="AC1" s="31" t="s">
        <v>197</v>
      </c>
      <c r="AD1" s="31" t="s">
        <v>157</v>
      </c>
      <c r="AE1" s="31" t="s">
        <v>160</v>
      </c>
      <c r="AF1" s="31" t="s">
        <v>156</v>
      </c>
      <c r="AG1" s="31" t="s">
        <v>158</v>
      </c>
      <c r="AH1" s="31" t="s">
        <v>162</v>
      </c>
      <c r="AI1" s="31" t="s">
        <v>164</v>
      </c>
      <c r="AJ1" s="31" t="s">
        <v>163</v>
      </c>
      <c r="AK1" s="31" t="s">
        <v>161</v>
      </c>
      <c r="AL1" s="31" t="s">
        <v>165</v>
      </c>
      <c r="AM1" s="31" t="s">
        <v>182</v>
      </c>
      <c r="AN1" s="31" t="s">
        <v>184</v>
      </c>
      <c r="AO1" s="31" t="s">
        <v>180</v>
      </c>
      <c r="AP1" s="31" t="s">
        <v>181</v>
      </c>
      <c r="AQ1" s="31" t="s">
        <v>147</v>
      </c>
      <c r="AR1" s="31" t="s">
        <v>150</v>
      </c>
      <c r="AS1" s="31" t="s">
        <v>183</v>
      </c>
      <c r="AT1" s="31" t="s">
        <v>146</v>
      </c>
      <c r="AU1" s="31" t="s">
        <v>152</v>
      </c>
      <c r="AV1" s="31" t="s">
        <v>151</v>
      </c>
      <c r="AW1" s="31" t="s">
        <v>149</v>
      </c>
      <c r="AX1" s="31" t="s">
        <v>148</v>
      </c>
      <c r="AY1" s="31" t="s">
        <v>159</v>
      </c>
      <c r="AZ1" s="31" t="s">
        <v>155</v>
      </c>
      <c r="BA1" s="31" t="s">
        <v>153</v>
      </c>
      <c r="BB1" s="31" t="s">
        <v>166</v>
      </c>
      <c r="BC1" s="31" t="s">
        <v>168</v>
      </c>
      <c r="BD1" s="31" t="s">
        <v>167</v>
      </c>
      <c r="BE1" s="31" t="s">
        <v>171</v>
      </c>
      <c r="BF1" s="31" t="s">
        <v>172</v>
      </c>
      <c r="BG1" s="31" t="s">
        <v>169</v>
      </c>
      <c r="BH1" s="31" t="s">
        <v>170</v>
      </c>
      <c r="BI1" s="31" t="s">
        <v>185</v>
      </c>
      <c r="BJ1" s="31" t="s">
        <v>173</v>
      </c>
      <c r="BK1" s="31" t="s">
        <v>174</v>
      </c>
      <c r="BL1" s="31" t="s">
        <v>175</v>
      </c>
      <c r="BM1" s="31" t="s">
        <v>178</v>
      </c>
      <c r="BN1" s="31" t="s">
        <v>176</v>
      </c>
      <c r="BO1" s="31" t="s">
        <v>177</v>
      </c>
      <c r="BP1" s="31" t="s">
        <v>179</v>
      </c>
      <c r="BQ1" s="31" t="s">
        <v>154</v>
      </c>
      <c r="BR1" s="31" t="s">
        <v>187</v>
      </c>
      <c r="BS1" s="31" t="s">
        <v>186</v>
      </c>
      <c r="BT1" s="31" t="s">
        <v>189</v>
      </c>
      <c r="BU1" s="31" t="s">
        <v>188</v>
      </c>
      <c r="BV1" s="31" t="s">
        <v>288</v>
      </c>
      <c r="BW1" s="31" t="s">
        <v>210</v>
      </c>
      <c r="BX1" s="31" t="s">
        <v>211</v>
      </c>
      <c r="BY1" s="31" t="s">
        <v>372</v>
      </c>
      <c r="BZ1" s="31" t="s">
        <v>212</v>
      </c>
      <c r="CA1" s="31" t="s">
        <v>213</v>
      </c>
      <c r="CB1" s="31" t="s">
        <v>214</v>
      </c>
      <c r="CC1" s="31" t="s">
        <v>215</v>
      </c>
      <c r="CD1" s="31" t="s">
        <v>327</v>
      </c>
      <c r="CE1" s="31" t="s">
        <v>328</v>
      </c>
      <c r="CF1" s="31" t="s">
        <v>246</v>
      </c>
      <c r="CG1" s="31" t="s">
        <v>247</v>
      </c>
      <c r="CH1" s="31" t="s">
        <v>256</v>
      </c>
      <c r="CI1" s="31" t="s">
        <v>257</v>
      </c>
      <c r="CJ1" s="31" t="s">
        <v>219</v>
      </c>
      <c r="CK1" s="31" t="s">
        <v>220</v>
      </c>
      <c r="CL1" s="31" t="s">
        <v>221</v>
      </c>
      <c r="CM1" s="31" t="s">
        <v>222</v>
      </c>
      <c r="CN1" s="31" t="s">
        <v>223</v>
      </c>
      <c r="CO1" s="31" t="s">
        <v>224</v>
      </c>
      <c r="CP1" s="31" t="s">
        <v>225</v>
      </c>
      <c r="CQ1" s="31" t="s">
        <v>239</v>
      </c>
      <c r="CR1" s="31" t="s">
        <v>240</v>
      </c>
      <c r="CS1" s="31" t="s">
        <v>241</v>
      </c>
      <c r="CT1" s="31" t="s">
        <v>242</v>
      </c>
      <c r="CU1" s="31" t="s">
        <v>243</v>
      </c>
      <c r="CV1" s="31" t="s">
        <v>289</v>
      </c>
      <c r="CW1" s="31" t="s">
        <v>130</v>
      </c>
      <c r="CX1" s="31"/>
      <c r="CY1" s="31"/>
      <c r="CZ1" s="31"/>
      <c r="DA1" s="31"/>
      <c r="DB1" s="31"/>
      <c r="DC1" s="31"/>
      <c r="DD1" s="31"/>
      <c r="DE1" s="31"/>
      <c r="DF1" s="31"/>
      <c r="DG1" s="31"/>
      <c r="DH1" s="31"/>
    </row>
    <row r="2" spans="1:112" ht="22" x14ac:dyDescent="0.25">
      <c r="A2" s="32" t="s">
        <v>276</v>
      </c>
      <c r="B2" s="2" t="s">
        <v>275</v>
      </c>
      <c r="C2" s="2" t="s">
        <v>275</v>
      </c>
      <c r="D2" s="2" t="s">
        <v>275</v>
      </c>
      <c r="E2" s="2" t="s">
        <v>275</v>
      </c>
      <c r="F2" s="2" t="s">
        <v>66</v>
      </c>
      <c r="G2" s="2" t="s">
        <v>66</v>
      </c>
      <c r="H2" s="2" t="s">
        <v>66</v>
      </c>
      <c r="I2" s="2" t="s">
        <v>66</v>
      </c>
      <c r="J2" s="2" t="s">
        <v>275</v>
      </c>
      <c r="K2" s="2" t="s">
        <v>275</v>
      </c>
      <c r="L2" s="2" t="s">
        <v>275</v>
      </c>
      <c r="M2" s="2" t="s">
        <v>275</v>
      </c>
      <c r="N2" s="2" t="s">
        <v>275</v>
      </c>
      <c r="O2" s="2" t="s">
        <v>275</v>
      </c>
      <c r="P2" s="2" t="s">
        <v>275</v>
      </c>
      <c r="Q2" s="2" t="s">
        <v>275</v>
      </c>
      <c r="R2" s="2" t="s">
        <v>275</v>
      </c>
      <c r="S2" s="2" t="s">
        <v>275</v>
      </c>
      <c r="T2" s="2" t="s">
        <v>275</v>
      </c>
      <c r="U2" s="2" t="s">
        <v>275</v>
      </c>
      <c r="V2" s="2" t="s">
        <v>275</v>
      </c>
      <c r="W2" s="2" t="s">
        <v>275</v>
      </c>
      <c r="X2" s="2" t="s">
        <v>275</v>
      </c>
      <c r="Y2" s="2" t="s">
        <v>275</v>
      </c>
      <c r="Z2" s="2" t="s">
        <v>275</v>
      </c>
      <c r="AA2" s="2" t="s">
        <v>275</v>
      </c>
      <c r="AB2" s="2" t="s">
        <v>275</v>
      </c>
      <c r="AC2" s="2" t="s">
        <v>275</v>
      </c>
      <c r="AD2" s="2" t="s">
        <v>275</v>
      </c>
      <c r="AE2" s="2" t="s">
        <v>275</v>
      </c>
      <c r="AF2" s="2" t="s">
        <v>275</v>
      </c>
      <c r="AG2" s="2" t="s">
        <v>275</v>
      </c>
      <c r="AH2" s="2" t="s">
        <v>275</v>
      </c>
      <c r="AI2" s="2" t="s">
        <v>275</v>
      </c>
      <c r="AJ2" s="2" t="s">
        <v>275</v>
      </c>
      <c r="AK2" s="2" t="s">
        <v>275</v>
      </c>
      <c r="AL2" s="2" t="s">
        <v>275</v>
      </c>
      <c r="AM2" s="2" t="s">
        <v>275</v>
      </c>
      <c r="AN2" s="2" t="s">
        <v>275</v>
      </c>
      <c r="AO2" s="2" t="s">
        <v>275</v>
      </c>
      <c r="AP2" s="2" t="s">
        <v>275</v>
      </c>
      <c r="AQ2" s="2" t="s">
        <v>275</v>
      </c>
      <c r="AR2" s="2" t="s">
        <v>275</v>
      </c>
      <c r="AS2" s="2" t="s">
        <v>275</v>
      </c>
      <c r="AT2" s="2" t="s">
        <v>275</v>
      </c>
      <c r="AU2" s="2" t="s">
        <v>275</v>
      </c>
      <c r="AV2" s="2" t="s">
        <v>275</v>
      </c>
      <c r="AW2" s="2" t="s">
        <v>275</v>
      </c>
      <c r="AX2" s="2" t="s">
        <v>275</v>
      </c>
      <c r="AY2" s="2" t="s">
        <v>275</v>
      </c>
      <c r="AZ2" s="2" t="s">
        <v>275</v>
      </c>
      <c r="BA2" s="2" t="s">
        <v>275</v>
      </c>
      <c r="BB2" s="2" t="s">
        <v>275</v>
      </c>
      <c r="BC2" s="2" t="s">
        <v>275</v>
      </c>
      <c r="BD2" s="2" t="s">
        <v>275</v>
      </c>
      <c r="BE2" s="2" t="s">
        <v>275</v>
      </c>
      <c r="BF2" s="2" t="s">
        <v>275</v>
      </c>
      <c r="BG2" s="2" t="s">
        <v>275</v>
      </c>
      <c r="BH2" s="2" t="s">
        <v>275</v>
      </c>
      <c r="BI2" s="2" t="s">
        <v>275</v>
      </c>
      <c r="BJ2" s="2" t="s">
        <v>275</v>
      </c>
      <c r="BK2" s="2" t="s">
        <v>275</v>
      </c>
      <c r="BL2" s="2" t="s">
        <v>275</v>
      </c>
      <c r="BM2" s="2" t="s">
        <v>275</v>
      </c>
      <c r="BN2" s="2" t="s">
        <v>275</v>
      </c>
      <c r="BO2" s="2" t="s">
        <v>275</v>
      </c>
      <c r="BP2" s="2" t="s">
        <v>275</v>
      </c>
      <c r="BQ2" s="2" t="s">
        <v>275</v>
      </c>
      <c r="BR2" s="2" t="s">
        <v>275</v>
      </c>
      <c r="BS2" s="2" t="s">
        <v>275</v>
      </c>
      <c r="BT2" s="2" t="s">
        <v>275</v>
      </c>
      <c r="BU2" s="2" t="s">
        <v>275</v>
      </c>
      <c r="BV2" s="2" t="s">
        <v>275</v>
      </c>
      <c r="BW2" s="2" t="s">
        <v>275</v>
      </c>
      <c r="BX2" s="2" t="s">
        <v>275</v>
      </c>
      <c r="BY2" s="2" t="s">
        <v>275</v>
      </c>
      <c r="BZ2" s="2" t="s">
        <v>275</v>
      </c>
      <c r="CA2" s="2" t="s">
        <v>275</v>
      </c>
      <c r="CB2" s="2" t="s">
        <v>275</v>
      </c>
      <c r="CC2" s="2" t="s">
        <v>275</v>
      </c>
      <c r="CD2" s="2" t="s">
        <v>275</v>
      </c>
      <c r="CE2" s="2" t="s">
        <v>275</v>
      </c>
      <c r="CF2" s="2" t="s">
        <v>227</v>
      </c>
      <c r="CG2" s="2" t="s">
        <v>227</v>
      </c>
      <c r="CH2" s="2" t="s">
        <v>227</v>
      </c>
      <c r="CI2" s="2" t="s">
        <v>227</v>
      </c>
      <c r="CJ2" s="2" t="s">
        <v>227</v>
      </c>
      <c r="CK2" s="2" t="s">
        <v>227</v>
      </c>
      <c r="CL2" s="2" t="s">
        <v>227</v>
      </c>
      <c r="CM2" s="2" t="s">
        <v>227</v>
      </c>
      <c r="CN2" s="2" t="s">
        <v>227</v>
      </c>
      <c r="CO2" s="2" t="s">
        <v>227</v>
      </c>
      <c r="CP2" s="2" t="s">
        <v>227</v>
      </c>
      <c r="CQ2" s="2" t="s">
        <v>227</v>
      </c>
      <c r="CR2" s="2" t="s">
        <v>227</v>
      </c>
      <c r="CS2" s="2" t="s">
        <v>227</v>
      </c>
      <c r="CT2" s="2" t="s">
        <v>227</v>
      </c>
      <c r="CU2" s="2" t="s">
        <v>227</v>
      </c>
      <c r="CV2" s="2" t="s">
        <v>227</v>
      </c>
      <c r="CW2" s="31"/>
      <c r="CX2" s="31"/>
      <c r="CY2" s="31"/>
      <c r="CZ2" s="31"/>
      <c r="DA2" s="31"/>
      <c r="DB2" s="31"/>
      <c r="DC2" s="31"/>
      <c r="DD2" s="31"/>
      <c r="DE2" s="31"/>
      <c r="DF2" s="31"/>
      <c r="DG2" s="31"/>
      <c r="DH2" s="31"/>
    </row>
    <row r="3" spans="1:112" ht="22" x14ac:dyDescent="0.25">
      <c r="A3" s="32" t="s">
        <v>273</v>
      </c>
      <c r="B3" s="65">
        <f>VLOOKUP("Schweiz",Transportdaten!$A$1:$N$13,MATCH("Laubholz",Transportdaten!$A$1:$N$1,0),FALSE)</f>
        <v>0.64</v>
      </c>
      <c r="C3" s="64">
        <v>705.3</v>
      </c>
      <c r="D3" s="65">
        <f>VLOOKUP("Schweiz",Transportdaten!$A$1:$N$13,MATCH("Nadelholz",Transportdaten!$A$1:$N$1,0),FALSE)</f>
        <v>0.44</v>
      </c>
      <c r="E3" s="64">
        <v>470</v>
      </c>
      <c r="F3" s="33"/>
      <c r="G3" s="33"/>
      <c r="H3" s="33"/>
      <c r="I3" s="33"/>
      <c r="J3" s="64">
        <v>465</v>
      </c>
      <c r="K3" s="64">
        <v>705</v>
      </c>
      <c r="L3" s="65">
        <f>K3</f>
        <v>705</v>
      </c>
      <c r="M3" s="65">
        <f>K3</f>
        <v>705</v>
      </c>
      <c r="N3" s="65">
        <f>K3</f>
        <v>705</v>
      </c>
      <c r="O3" s="64">
        <v>485</v>
      </c>
      <c r="P3" s="65">
        <f>J3</f>
        <v>465</v>
      </c>
      <c r="Q3" s="64">
        <v>675</v>
      </c>
      <c r="R3" s="65">
        <f>Q3</f>
        <v>675</v>
      </c>
      <c r="S3" s="65">
        <f>J3</f>
        <v>465</v>
      </c>
      <c r="T3" s="65">
        <f>O3</f>
        <v>485</v>
      </c>
      <c r="U3" s="65">
        <f>O3</f>
        <v>485</v>
      </c>
      <c r="V3" s="65">
        <f>O3</f>
        <v>485</v>
      </c>
      <c r="W3" s="65">
        <f>O3</f>
        <v>485</v>
      </c>
      <c r="X3" s="65">
        <f>O3</f>
        <v>485</v>
      </c>
      <c r="Y3" s="65">
        <f>J3</f>
        <v>465</v>
      </c>
      <c r="Z3" s="65">
        <f>Q3</f>
        <v>675</v>
      </c>
      <c r="AA3" s="65">
        <f>Q3</f>
        <v>675</v>
      </c>
      <c r="AB3" s="65">
        <f>K3</f>
        <v>705</v>
      </c>
      <c r="AC3" s="65">
        <f>K3</f>
        <v>705</v>
      </c>
      <c r="AD3" s="65">
        <f>J3</f>
        <v>465</v>
      </c>
      <c r="AE3" s="65">
        <f>O3</f>
        <v>485</v>
      </c>
      <c r="AF3" s="65">
        <f>J3</f>
        <v>465</v>
      </c>
      <c r="AG3" s="65">
        <f>O3</f>
        <v>485</v>
      </c>
      <c r="AH3" s="65">
        <f>J3</f>
        <v>465</v>
      </c>
      <c r="AI3" s="65">
        <f>O3</f>
        <v>485</v>
      </c>
      <c r="AJ3" s="65">
        <f>J3</f>
        <v>465</v>
      </c>
      <c r="AK3" s="65">
        <f>O3</f>
        <v>485</v>
      </c>
      <c r="AL3" s="65">
        <f>O3</f>
        <v>485</v>
      </c>
      <c r="AM3" s="65">
        <f>J3</f>
        <v>465</v>
      </c>
      <c r="AN3" s="65">
        <f>O3</f>
        <v>485</v>
      </c>
      <c r="AO3" s="65">
        <f>O3</f>
        <v>485</v>
      </c>
      <c r="AP3" s="65">
        <f>J3</f>
        <v>465</v>
      </c>
      <c r="AQ3" s="65">
        <f>Q3</f>
        <v>675</v>
      </c>
      <c r="AR3" s="65">
        <f>K3</f>
        <v>705</v>
      </c>
      <c r="AS3" s="65">
        <f>O3</f>
        <v>485</v>
      </c>
      <c r="AT3" s="65">
        <f>Q3</f>
        <v>675</v>
      </c>
      <c r="AU3" s="65">
        <f>Q3</f>
        <v>675</v>
      </c>
      <c r="AV3" s="65">
        <f>K3</f>
        <v>705</v>
      </c>
      <c r="AW3" s="65">
        <f>K3</f>
        <v>705</v>
      </c>
      <c r="AX3" s="65">
        <f>K3</f>
        <v>705</v>
      </c>
      <c r="AY3" s="65">
        <f>O3</f>
        <v>485</v>
      </c>
      <c r="AZ3" s="65">
        <f>K3</f>
        <v>705</v>
      </c>
      <c r="BA3" s="65">
        <f>Q3</f>
        <v>675</v>
      </c>
      <c r="BB3" s="65">
        <f>Q3</f>
        <v>675</v>
      </c>
      <c r="BC3" s="65">
        <f>K3</f>
        <v>705</v>
      </c>
      <c r="BD3" s="65">
        <f>Q3</f>
        <v>675</v>
      </c>
      <c r="BE3" s="65">
        <f>K3</f>
        <v>705</v>
      </c>
      <c r="BF3" s="65">
        <f>Q3</f>
        <v>675</v>
      </c>
      <c r="BG3" s="65">
        <f>K3</f>
        <v>705</v>
      </c>
      <c r="BH3" s="65">
        <f>K3</f>
        <v>705</v>
      </c>
      <c r="BI3" s="65">
        <f>Q3</f>
        <v>675</v>
      </c>
      <c r="BJ3" s="65">
        <f>K3</f>
        <v>705</v>
      </c>
      <c r="BK3" s="65">
        <f>K3</f>
        <v>705</v>
      </c>
      <c r="BL3" s="65">
        <f>J3</f>
        <v>465</v>
      </c>
      <c r="BM3" s="65">
        <f>O3</f>
        <v>485</v>
      </c>
      <c r="BN3" s="65">
        <f>J3</f>
        <v>465</v>
      </c>
      <c r="BO3" s="65">
        <f>O3</f>
        <v>485</v>
      </c>
      <c r="BP3" s="65">
        <f>O3</f>
        <v>485</v>
      </c>
      <c r="BQ3" s="65">
        <f>K3</f>
        <v>705</v>
      </c>
      <c r="BR3" s="64">
        <v>640</v>
      </c>
      <c r="BS3" s="64">
        <v>148</v>
      </c>
      <c r="BT3" s="64">
        <v>272</v>
      </c>
      <c r="BU3" s="65">
        <f>BR3</f>
        <v>640</v>
      </c>
      <c r="BV3" s="65">
        <f>BS3</f>
        <v>148</v>
      </c>
      <c r="BW3" s="64">
        <v>439</v>
      </c>
      <c r="BX3" s="65">
        <f>BW3</f>
        <v>439</v>
      </c>
      <c r="BY3" s="64">
        <v>436</v>
      </c>
      <c r="BZ3" s="64">
        <v>823</v>
      </c>
      <c r="CA3" s="64">
        <v>500</v>
      </c>
      <c r="CB3" s="65">
        <f>CA3</f>
        <v>500</v>
      </c>
      <c r="CC3" s="64">
        <v>453</v>
      </c>
      <c r="CD3" s="64">
        <v>439</v>
      </c>
      <c r="CE3" s="64">
        <v>439</v>
      </c>
      <c r="CF3" s="33"/>
      <c r="CG3" s="33"/>
      <c r="CH3" s="33"/>
      <c r="CI3" s="33"/>
      <c r="CJ3" s="64">
        <v>680</v>
      </c>
      <c r="CK3" s="64">
        <v>650</v>
      </c>
      <c r="CL3" s="65">
        <f>$CK3</f>
        <v>650</v>
      </c>
      <c r="CM3" s="65">
        <f>$CK3</f>
        <v>650</v>
      </c>
      <c r="CN3" s="64">
        <v>450</v>
      </c>
      <c r="CO3" s="65">
        <f>$CN3</f>
        <v>450</v>
      </c>
      <c r="CP3" s="65">
        <f>$CN3</f>
        <v>450</v>
      </c>
      <c r="CQ3" s="33"/>
      <c r="CR3" s="33"/>
      <c r="CS3" s="33"/>
      <c r="CT3" s="33"/>
      <c r="CU3" s="33"/>
      <c r="CV3" s="33"/>
      <c r="CW3" s="33" t="s">
        <v>285</v>
      </c>
      <c r="CX3" s="33"/>
      <c r="CY3" s="33"/>
    </row>
    <row r="4" spans="1:112" ht="44" x14ac:dyDescent="0.25">
      <c r="A4" s="32" t="s">
        <v>274</v>
      </c>
      <c r="B4" s="33">
        <v>11038.720000000003</v>
      </c>
      <c r="C4" s="33">
        <v>10866.9619072</v>
      </c>
      <c r="D4" s="33">
        <v>7715.2799999999988</v>
      </c>
      <c r="E4" s="33">
        <v>8117.5863599999993</v>
      </c>
      <c r="F4" s="33">
        <v>0</v>
      </c>
      <c r="G4" s="33">
        <v>0</v>
      </c>
      <c r="H4" s="33">
        <v>0</v>
      </c>
      <c r="I4" s="33">
        <v>0</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50">
        <f>20.2332322444437*BR3</f>
        <v>12949.268636443967</v>
      </c>
      <c r="BS4" s="33">
        <f>19.9005857179742*BS3</f>
        <v>2945.2866862601813</v>
      </c>
      <c r="BT4" s="33">
        <v>9110.1508373488741</v>
      </c>
      <c r="BU4" s="33">
        <f>20.2332*BU3</f>
        <v>12949.248</v>
      </c>
      <c r="BV4" s="33">
        <f>19.9005857179742*BV3</f>
        <v>2945.2866862601813</v>
      </c>
      <c r="BW4" s="33">
        <v>7795.4886463422281</v>
      </c>
      <c r="BX4" s="33">
        <v>7795.4886463422281</v>
      </c>
      <c r="BY4" s="33">
        <f>19.9005857179742*BY3</f>
        <v>8676.6553730367505</v>
      </c>
      <c r="BZ4" s="33">
        <v>10866.9619072</v>
      </c>
      <c r="CA4" s="33">
        <f>21.73*CA3</f>
        <v>10865</v>
      </c>
      <c r="CB4" s="33">
        <f>21.73*CB3</f>
        <v>10865</v>
      </c>
      <c r="CC4" s="33">
        <v>8117.59</v>
      </c>
      <c r="CD4" s="33">
        <v>7990.17</v>
      </c>
      <c r="CE4" s="33">
        <v>7990.17</v>
      </c>
      <c r="CF4" s="33"/>
      <c r="CG4" s="33"/>
      <c r="CH4" s="33"/>
      <c r="CI4" s="33"/>
      <c r="CJ4" s="33"/>
      <c r="CK4" s="64">
        <v>19.600000000000001</v>
      </c>
      <c r="CL4" s="64">
        <v>18.8792658963328</v>
      </c>
      <c r="CM4" s="64">
        <v>18.774999999999999</v>
      </c>
      <c r="CN4" s="64">
        <v>20.02667352988</v>
      </c>
      <c r="CO4" s="64">
        <v>20.374410000000001</v>
      </c>
      <c r="CP4" s="65">
        <f>$CO4</f>
        <v>20.374410000000001</v>
      </c>
      <c r="CQ4" s="33">
        <v>0</v>
      </c>
      <c r="CR4" s="33">
        <v>0</v>
      </c>
      <c r="CS4" s="33">
        <v>0</v>
      </c>
      <c r="CT4" s="33">
        <v>0</v>
      </c>
      <c r="CU4" s="33">
        <v>0</v>
      </c>
      <c r="CV4" s="33">
        <v>0</v>
      </c>
      <c r="CW4" s="33" t="s">
        <v>132</v>
      </c>
    </row>
    <row r="5" spans="1:112" ht="22" x14ac:dyDescent="0.25">
      <c r="A5" s="32" t="s">
        <v>106</v>
      </c>
      <c r="B5" s="33"/>
      <c r="C5" s="33"/>
      <c r="D5" s="33"/>
      <c r="E5" s="33"/>
      <c r="F5" s="33">
        <v>0</v>
      </c>
      <c r="G5" s="33">
        <v>0</v>
      </c>
      <c r="H5" s="33">
        <v>0</v>
      </c>
      <c r="I5" s="33">
        <v>0</v>
      </c>
      <c r="J5" s="33">
        <f>0.451*J3</f>
        <v>209.715</v>
      </c>
      <c r="K5" s="33">
        <f>0.413*K3</f>
        <v>291.16499999999996</v>
      </c>
      <c r="L5" s="33">
        <f>0.413*L3</f>
        <v>291.16499999999996</v>
      </c>
      <c r="M5" s="33">
        <f>0.413*M3</f>
        <v>291.16499999999996</v>
      </c>
      <c r="N5" s="33">
        <f>0.413*N3</f>
        <v>291.16499999999996</v>
      </c>
      <c r="O5" s="33">
        <f>0.413*O3</f>
        <v>200.30499999999998</v>
      </c>
      <c r="P5" s="33">
        <f>0.451*P3</f>
        <v>209.715</v>
      </c>
      <c r="Q5" s="33">
        <f>0.451*Q3</f>
        <v>304.42500000000001</v>
      </c>
      <c r="R5" s="33">
        <f>0.451*R3</f>
        <v>304.42500000000001</v>
      </c>
      <c r="S5" s="33">
        <f>0.451*S3</f>
        <v>209.715</v>
      </c>
      <c r="T5" s="33">
        <f>0.413*T3</f>
        <v>200.30499999999998</v>
      </c>
      <c r="U5" s="33">
        <f>0.413*U3</f>
        <v>200.30499999999998</v>
      </c>
      <c r="V5" s="33">
        <f>0.413*V3</f>
        <v>200.30499999999998</v>
      </c>
      <c r="W5" s="33">
        <f>0.413*W3</f>
        <v>200.30499999999998</v>
      </c>
      <c r="X5" s="33">
        <f>0.413*X3</f>
        <v>200.30499999999998</v>
      </c>
      <c r="Y5" s="33">
        <f>0.451*Y3</f>
        <v>209.715</v>
      </c>
      <c r="Z5" s="33">
        <f>0.451*Z3</f>
        <v>304.42500000000001</v>
      </c>
      <c r="AA5" s="33">
        <f>0.451*AA3</f>
        <v>304.42500000000001</v>
      </c>
      <c r="AB5" s="33">
        <f>0.413*AB3</f>
        <v>291.16499999999996</v>
      </c>
      <c r="AC5" s="33">
        <f>0.413*AC3</f>
        <v>291.16499999999996</v>
      </c>
      <c r="AD5" s="33">
        <f>0.451*AD3</f>
        <v>209.715</v>
      </c>
      <c r="AE5" s="33">
        <f>0.413*AE3</f>
        <v>200.30499999999998</v>
      </c>
      <c r="AF5" s="33">
        <f>0.451*AF3</f>
        <v>209.715</v>
      </c>
      <c r="AG5" s="33">
        <f>0.413*AG3</f>
        <v>200.30499999999998</v>
      </c>
      <c r="AH5" s="33">
        <f>0.451*AH3</f>
        <v>209.715</v>
      </c>
      <c r="AI5" s="33">
        <f>0.413*AI3</f>
        <v>200.30499999999998</v>
      </c>
      <c r="AJ5" s="33">
        <f>0.451*AJ3</f>
        <v>209.715</v>
      </c>
      <c r="AK5" s="33">
        <f>0.413*AK3</f>
        <v>200.30499999999998</v>
      </c>
      <c r="AL5" s="33">
        <f>0.413*AL3</f>
        <v>200.30499999999998</v>
      </c>
      <c r="AM5" s="33">
        <f>0.451*AM3</f>
        <v>209.715</v>
      </c>
      <c r="AN5" s="33">
        <f>0.413*AN3</f>
        <v>200.30499999999998</v>
      </c>
      <c r="AO5" s="33">
        <f>0.413*AO3</f>
        <v>200.30499999999998</v>
      </c>
      <c r="AP5" s="33">
        <f>0.451*AP3</f>
        <v>209.715</v>
      </c>
      <c r="AQ5" s="33">
        <f>0.451*AQ3</f>
        <v>304.42500000000001</v>
      </c>
      <c r="AR5" s="33">
        <f>0.413*AR3</f>
        <v>291.16499999999996</v>
      </c>
      <c r="AS5" s="33">
        <f>0.413*AS3</f>
        <v>200.30499999999998</v>
      </c>
      <c r="AT5" s="33">
        <f>0.451*AT3</f>
        <v>304.42500000000001</v>
      </c>
      <c r="AU5" s="33">
        <f>0.451*AU3</f>
        <v>304.42500000000001</v>
      </c>
      <c r="AV5" s="33">
        <f>0.413*AV3</f>
        <v>291.16499999999996</v>
      </c>
      <c r="AW5" s="33">
        <f>0.413*AW3</f>
        <v>291.16499999999996</v>
      </c>
      <c r="AX5" s="33">
        <f>0.413*AX3</f>
        <v>291.16499999999996</v>
      </c>
      <c r="AY5" s="33">
        <f>0.413*AY3</f>
        <v>200.30499999999998</v>
      </c>
      <c r="AZ5" s="33">
        <f>0.413*AZ3</f>
        <v>291.16499999999996</v>
      </c>
      <c r="BA5" s="33">
        <f>0.451*BA3</f>
        <v>304.42500000000001</v>
      </c>
      <c r="BB5" s="33">
        <f>0.451*BB3</f>
        <v>304.42500000000001</v>
      </c>
      <c r="BC5" s="33">
        <f>0.413*BC3</f>
        <v>291.16499999999996</v>
      </c>
      <c r="BD5" s="33">
        <f>0.451*BD3</f>
        <v>304.42500000000001</v>
      </c>
      <c r="BE5" s="33">
        <f>0.413*BE3</f>
        <v>291.16499999999996</v>
      </c>
      <c r="BF5" s="33">
        <f>0.451*BF3</f>
        <v>304.42500000000001</v>
      </c>
      <c r="BG5" s="33">
        <f>0.413*BG3</f>
        <v>291.16499999999996</v>
      </c>
      <c r="BH5" s="33">
        <f>0.413*BH3</f>
        <v>291.16499999999996</v>
      </c>
      <c r="BI5" s="33">
        <f>0.451*BI3</f>
        <v>304.42500000000001</v>
      </c>
      <c r="BJ5" s="33">
        <f>0.413*BJ3</f>
        <v>291.16499999999996</v>
      </c>
      <c r="BK5" s="33">
        <f>0.413*BK3</f>
        <v>291.16499999999996</v>
      </c>
      <c r="BL5" s="33">
        <f>0.451*BL3</f>
        <v>209.715</v>
      </c>
      <c r="BM5" s="33">
        <f>0.413*BM3</f>
        <v>200.30499999999998</v>
      </c>
      <c r="BN5" s="33">
        <f>0.451*BN3</f>
        <v>209.715</v>
      </c>
      <c r="BO5" s="33">
        <f>0.413*BO3</f>
        <v>200.30499999999998</v>
      </c>
      <c r="BP5" s="33">
        <f>0.413*BP3</f>
        <v>200.30499999999998</v>
      </c>
      <c r="BQ5" s="33">
        <f>0.413*BQ3</f>
        <v>291.16499999999996</v>
      </c>
      <c r="BR5" s="50">
        <f>0.417*BR3</f>
        <v>266.88</v>
      </c>
      <c r="BS5" s="33">
        <f>0.436*BS3</f>
        <v>64.528000000000006</v>
      </c>
      <c r="BT5" s="33">
        <f>0.429*BT3</f>
        <v>116.688</v>
      </c>
      <c r="BU5" s="50">
        <f>0.417*BU3</f>
        <v>266.88</v>
      </c>
      <c r="BV5" s="33">
        <f>0.436*BV3</f>
        <v>64.528000000000006</v>
      </c>
      <c r="BW5" s="33">
        <f>0.446*BW3</f>
        <v>195.79400000000001</v>
      </c>
      <c r="BX5" s="33">
        <f>0.446*BX3</f>
        <v>195.79400000000001</v>
      </c>
      <c r="BY5" s="33">
        <f t="shared" ref="BY5" si="0">0.446*BY3</f>
        <v>194.45600000000002</v>
      </c>
      <c r="BZ5" s="33">
        <f>0.41*BZ3</f>
        <v>337.43</v>
      </c>
      <c r="CA5" s="33">
        <f>0.41*CA3</f>
        <v>205</v>
      </c>
      <c r="CB5" s="33">
        <f>0.41*CB3</f>
        <v>205</v>
      </c>
      <c r="CC5" s="33">
        <f>0.433*CC3</f>
        <v>196.149</v>
      </c>
      <c r="CD5" s="33">
        <f>0.446*CD3</f>
        <v>195.79400000000001</v>
      </c>
      <c r="CE5" s="33">
        <f>0.446*CE3</f>
        <v>195.79400000000001</v>
      </c>
      <c r="CF5" s="33">
        <v>0.41299999999999998</v>
      </c>
      <c r="CG5" s="33">
        <v>0.41299999999999998</v>
      </c>
      <c r="CH5" s="33">
        <v>0.41299999999999998</v>
      </c>
      <c r="CI5" s="33">
        <v>0.41299999999999998</v>
      </c>
      <c r="CJ5" s="33">
        <v>0.41299999999999998</v>
      </c>
      <c r="CK5" s="33">
        <v>0.41299999999999998</v>
      </c>
      <c r="CL5" s="33">
        <v>0.41299999999999998</v>
      </c>
      <c r="CM5" s="33">
        <v>0.41299999999999998</v>
      </c>
      <c r="CN5" s="33">
        <v>0.41299999999999998</v>
      </c>
      <c r="CO5" s="33">
        <v>0.41299999999999998</v>
      </c>
      <c r="CP5" s="33">
        <v>0.41299999999999998</v>
      </c>
      <c r="CQ5" s="33"/>
      <c r="CR5" s="33"/>
      <c r="CS5" s="33"/>
      <c r="CT5" s="33"/>
      <c r="CU5" s="33"/>
      <c r="CV5" s="33"/>
      <c r="CW5" s="33" t="s">
        <v>227</v>
      </c>
    </row>
    <row r="6" spans="1:112" ht="21" x14ac:dyDescent="0.25">
      <c r="A6" s="32"/>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50"/>
      <c r="BS6" s="33"/>
      <c r="BT6" s="33"/>
      <c r="BU6" s="33"/>
      <c r="BV6" s="33"/>
      <c r="BW6" s="33"/>
      <c r="BX6" s="33"/>
      <c r="BY6" s="50"/>
      <c r="BZ6" s="33"/>
      <c r="CA6" s="33"/>
      <c r="CB6" s="33"/>
      <c r="CC6" s="33"/>
      <c r="CD6" s="33"/>
      <c r="CE6" s="33"/>
      <c r="CF6" s="33"/>
      <c r="CG6" s="33"/>
      <c r="CH6" s="33"/>
      <c r="CI6" s="33"/>
      <c r="CJ6" s="33"/>
      <c r="CK6" s="33"/>
      <c r="CL6" s="33"/>
      <c r="CM6" s="33"/>
      <c r="CN6" s="33"/>
      <c r="CO6" s="33"/>
      <c r="CP6" s="33"/>
      <c r="CQ6" s="33"/>
      <c r="CR6" s="33"/>
      <c r="CS6" s="33"/>
      <c r="CT6" s="33"/>
      <c r="CU6" s="33"/>
      <c r="CV6" s="33"/>
      <c r="CW6" s="33"/>
    </row>
    <row r="7" spans="1:112" ht="21" x14ac:dyDescent="0.25">
      <c r="A7" s="32"/>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50"/>
      <c r="BS7" s="33"/>
      <c r="BT7" s="33"/>
      <c r="BU7" s="33"/>
      <c r="BV7" s="33"/>
      <c r="BW7" s="33"/>
      <c r="BX7" s="33"/>
      <c r="BY7" s="50"/>
      <c r="BZ7" s="33"/>
      <c r="CA7" s="33"/>
      <c r="CB7" s="33"/>
      <c r="CC7" s="33"/>
      <c r="CD7" s="33"/>
      <c r="CE7" s="33"/>
      <c r="CF7" s="33"/>
      <c r="CG7" s="33"/>
      <c r="CH7" s="33"/>
      <c r="CI7" s="33"/>
      <c r="CJ7" s="33"/>
      <c r="CK7" s="33"/>
      <c r="CL7" s="33"/>
      <c r="CM7" s="33"/>
      <c r="CN7" s="33"/>
      <c r="CO7" s="33"/>
      <c r="CP7" s="33"/>
      <c r="CQ7" s="33"/>
      <c r="CR7" s="33"/>
      <c r="CS7" s="33"/>
      <c r="CT7" s="33"/>
      <c r="CU7" s="33"/>
      <c r="CV7" s="33"/>
      <c r="CW7" s="33"/>
    </row>
    <row r="8" spans="1:112" ht="21" x14ac:dyDescent="0.25">
      <c r="A8" s="32"/>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50"/>
      <c r="BS8" s="33"/>
      <c r="BT8" s="33"/>
      <c r="BU8" s="33"/>
      <c r="BV8" s="33"/>
      <c r="BW8" s="33"/>
      <c r="BX8" s="33"/>
      <c r="BY8" s="50"/>
      <c r="BZ8" s="33"/>
      <c r="CA8" s="33"/>
      <c r="CB8" s="33"/>
      <c r="CC8" s="33"/>
      <c r="CD8" s="33"/>
      <c r="CE8" s="33"/>
      <c r="CF8" s="33"/>
      <c r="CG8" s="33"/>
      <c r="CH8" s="33"/>
      <c r="CI8" s="33"/>
      <c r="CJ8" s="33"/>
      <c r="CK8" s="33"/>
      <c r="CL8" s="33"/>
      <c r="CM8" s="33"/>
      <c r="CN8" s="33"/>
      <c r="CO8" s="33"/>
      <c r="CP8" s="33"/>
      <c r="CQ8" s="33"/>
      <c r="CR8" s="33"/>
      <c r="CS8" s="33"/>
      <c r="CT8" s="33"/>
      <c r="CU8" s="33"/>
      <c r="CV8" s="33"/>
      <c r="CW8" s="33"/>
    </row>
    <row r="9" spans="1:112" ht="21" x14ac:dyDescent="0.25">
      <c r="A9" s="32"/>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50"/>
      <c r="BS9" s="33"/>
      <c r="BT9" s="33"/>
      <c r="BU9" s="33"/>
      <c r="BV9" s="33"/>
      <c r="BW9" s="33"/>
      <c r="BX9" s="33"/>
      <c r="BZ9" s="33"/>
      <c r="CA9" s="33"/>
      <c r="CB9" s="33"/>
      <c r="CC9" s="33"/>
      <c r="CD9" s="33"/>
      <c r="CE9" s="33"/>
      <c r="CF9" s="33"/>
      <c r="CG9" s="33"/>
      <c r="CH9" s="33"/>
      <c r="CI9" s="33"/>
      <c r="CJ9" s="33"/>
      <c r="CK9" s="33"/>
      <c r="CL9" s="33"/>
      <c r="CM9" s="33"/>
      <c r="CN9" s="33"/>
      <c r="CO9" s="33"/>
      <c r="CP9" s="33"/>
      <c r="CQ9" s="33"/>
      <c r="CR9" s="33"/>
      <c r="CS9" s="33"/>
      <c r="CT9" s="33"/>
      <c r="CU9" s="33"/>
      <c r="CV9" s="33"/>
      <c r="CW9" s="33"/>
    </row>
    <row r="10" spans="1:112" ht="21" x14ac:dyDescent="0.25">
      <c r="BW10" s="33"/>
      <c r="BX10" s="33"/>
      <c r="BZ10" s="33"/>
      <c r="CA10" s="33"/>
      <c r="CB10" s="33"/>
      <c r="CC10" s="33"/>
      <c r="CD10" s="33"/>
      <c r="CE10" s="33"/>
      <c r="CW10" s="33"/>
    </row>
    <row r="13" spans="1:112" x14ac:dyDescent="0.2">
      <c r="CK13" s="54"/>
      <c r="CL13" s="54"/>
      <c r="CM13" s="54"/>
      <c r="CN13" s="54"/>
      <c r="CO13" s="54"/>
      <c r="CP13" s="54"/>
    </row>
    <row r="15" spans="1:112" x14ac:dyDescent="0.2">
      <c r="CK15" s="54"/>
    </row>
    <row r="16" spans="1:112" x14ac:dyDescent="0.2">
      <c r="CK16" s="54"/>
    </row>
  </sheetData>
  <phoneticPr fontId="4" type="noConversion"/>
  <pageMargins left="0.7" right="0.7" top="0.78740157499999996" bottom="0.78740157499999996" header="0.3" footer="0.3"/>
  <pageSetup paperSize="9" orientation="portrait" horizontalDpi="0" verticalDpi="0"/>
  <legacyDrawing r:id="rId1"/>
  <extLst>
    <ext xmlns:x14="http://schemas.microsoft.com/office/spreadsheetml/2009/9/main" uri="{78C0D931-6437-407d-A8EE-F0AAD7539E65}">
      <x14:conditionalFormattings>
        <x14:conditionalFormatting xmlns:xm="http://schemas.microsoft.com/office/excel/2006/main">
          <x14:cfRule type="expression" priority="1" id="{8B425AF5-2079-8D43-9553-BEA928B6D237}">
            <xm:f>CD$1='Faktoren Prozessketten'!CR$2</xm:f>
            <x14:dxf>
              <font>
                <color rgb="FF006100"/>
              </font>
              <fill>
                <patternFill>
                  <bgColor rgb="FFC6EFCE"/>
                </patternFill>
              </fill>
            </x14:dxf>
          </x14:cfRule>
          <x14:cfRule type="expression" priority="2" id="{1CFF8B1E-79B3-C945-928D-A4BB7BBD9723}">
            <xm:f>CD$1='Faktoren Prozessketten'!CS$2</xm:f>
            <x14:dxf>
              <font>
                <color rgb="FF006100"/>
              </font>
              <fill>
                <patternFill>
                  <bgColor rgb="FFC6EFCE"/>
                </patternFill>
              </fill>
            </x14:dxf>
          </x14:cfRule>
          <xm:sqref>CD1</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4628-D098-9C4D-9DA5-19B84E260747}">
  <dimension ref="A1:R17"/>
  <sheetViews>
    <sheetView workbookViewId="0">
      <selection activeCell="O1" sqref="O1"/>
    </sheetView>
  </sheetViews>
  <sheetFormatPr baseColWidth="10" defaultRowHeight="16" x14ac:dyDescent="0.2"/>
  <cols>
    <col min="1" max="1" width="14.33203125" style="5" customWidth="1"/>
    <col min="2" max="2" width="13.1640625" style="5" customWidth="1"/>
    <col min="3" max="5" width="10.83203125" style="5"/>
    <col min="6" max="6" width="11.6640625" style="5" customWidth="1"/>
    <col min="7" max="7" width="10.83203125" style="5"/>
    <col min="8" max="8" width="11.83203125" style="5" customWidth="1"/>
    <col min="9" max="11" width="10.83203125" style="5"/>
    <col min="12" max="12" width="21.33203125" style="5" customWidth="1"/>
    <col min="13" max="14" width="11.83203125" style="5" customWidth="1"/>
    <col min="15" max="15" width="10.83203125" style="5"/>
    <col min="16" max="16" width="11.6640625" style="5" bestFit="1" customWidth="1"/>
    <col min="17" max="17" width="10.83203125" style="5"/>
    <col min="18" max="18" width="11.6640625" style="5" bestFit="1" customWidth="1"/>
    <col min="19" max="16384" width="10.83203125" style="5"/>
  </cols>
  <sheetData>
    <row r="1" spans="1:18" ht="34" x14ac:dyDescent="0.2">
      <c r="A1" s="121" t="s">
        <v>29</v>
      </c>
      <c r="B1" s="122"/>
      <c r="C1" s="122"/>
      <c r="D1" s="122"/>
      <c r="E1" s="122"/>
      <c r="F1" s="118" t="s">
        <v>357</v>
      </c>
      <c r="G1" s="119">
        <v>40</v>
      </c>
      <c r="H1" s="118" t="s">
        <v>358</v>
      </c>
      <c r="I1" s="119">
        <v>150</v>
      </c>
      <c r="J1" s="120" t="s">
        <v>384</v>
      </c>
      <c r="K1" s="122"/>
      <c r="L1" s="122"/>
      <c r="M1" s="5" t="s">
        <v>89</v>
      </c>
      <c r="N1" s="5" t="s">
        <v>88</v>
      </c>
      <c r="O1" s="2" t="s">
        <v>228</v>
      </c>
      <c r="P1" s="2" t="s">
        <v>228</v>
      </c>
      <c r="Q1" s="5" t="s">
        <v>226</v>
      </c>
      <c r="R1" s="5" t="s">
        <v>226</v>
      </c>
    </row>
    <row r="2" spans="1:18" ht="51" x14ac:dyDescent="0.2">
      <c r="A2" s="5" t="s">
        <v>23</v>
      </c>
      <c r="B2" s="5" t="s">
        <v>13</v>
      </c>
      <c r="C2" s="5" t="s">
        <v>14</v>
      </c>
      <c r="D2" s="5" t="s">
        <v>15</v>
      </c>
      <c r="E2" s="5" t="s">
        <v>16</v>
      </c>
      <c r="F2" s="5" t="s">
        <v>17</v>
      </c>
      <c r="G2" s="5" t="s">
        <v>18</v>
      </c>
      <c r="H2" s="5" t="s">
        <v>19</v>
      </c>
      <c r="I2" s="5" t="s">
        <v>20</v>
      </c>
      <c r="J2" s="5" t="s">
        <v>21</v>
      </c>
      <c r="K2" s="5" t="s">
        <v>48</v>
      </c>
      <c r="L2" s="5" t="s">
        <v>49</v>
      </c>
      <c r="M2" s="5" t="s">
        <v>388</v>
      </c>
      <c r="N2" s="5" t="s">
        <v>388</v>
      </c>
      <c r="O2" s="5" t="s">
        <v>388</v>
      </c>
      <c r="P2" s="5" t="s">
        <v>254</v>
      </c>
      <c r="Q2" s="5" t="s">
        <v>99</v>
      </c>
      <c r="R2" s="5" t="s">
        <v>255</v>
      </c>
    </row>
    <row r="3" spans="1:18" ht="17" x14ac:dyDescent="0.2">
      <c r="A3" s="5" t="s">
        <v>13</v>
      </c>
      <c r="B3" s="5">
        <f>IF(OR(Eingabemaske!$D$3="Schnittholz",Eingabemaske!$D$3="Lagenholz"),$G$1,$I$1)</f>
        <v>150</v>
      </c>
      <c r="C3" s="5">
        <v>2400</v>
      </c>
      <c r="D3" s="5">
        <v>1500</v>
      </c>
      <c r="E3" s="5">
        <v>1350</v>
      </c>
      <c r="F3" s="5">
        <v>1800</v>
      </c>
      <c r="G3" s="5">
        <v>700</v>
      </c>
      <c r="H3" s="5">
        <v>1650</v>
      </c>
      <c r="I3" s="5">
        <v>650</v>
      </c>
      <c r="J3" s="5">
        <v>1000</v>
      </c>
      <c r="K3" s="18">
        <v>1</v>
      </c>
      <c r="L3" s="19">
        <v>1</v>
      </c>
      <c r="M3" s="5">
        <v>0.46</v>
      </c>
      <c r="N3" s="5">
        <v>0.65</v>
      </c>
      <c r="O3" s="53">
        <f>$M3*(1-P3)+$N3*P3</f>
        <v>0.58085900000000001</v>
      </c>
      <c r="P3" s="53">
        <v>0.6361</v>
      </c>
      <c r="Q3" s="53">
        <f>$M3*(1-R3)+$N3*R3</f>
        <v>0.55500000000000005</v>
      </c>
      <c r="R3" s="5">
        <v>0.5</v>
      </c>
    </row>
    <row r="4" spans="1:18" ht="17" x14ac:dyDescent="0.2">
      <c r="A4" s="5" t="s">
        <v>14</v>
      </c>
      <c r="B4" s="5">
        <v>2400</v>
      </c>
      <c r="C4" s="5">
        <f>IF(OR(Eingabemaske!$D$3="Schnittholz",Eingabemaske!$D$3="Lagenholz"),$G$1,$I$1)</f>
        <v>150</v>
      </c>
      <c r="D4" s="5">
        <v>3500</v>
      </c>
      <c r="E4" s="5">
        <v>3400</v>
      </c>
      <c r="F4" s="5">
        <v>1100</v>
      </c>
      <c r="G4" s="5">
        <v>2500</v>
      </c>
      <c r="H4" s="5">
        <v>700</v>
      </c>
      <c r="I4" s="5">
        <v>3000</v>
      </c>
      <c r="J4" s="5">
        <v>2500</v>
      </c>
      <c r="K4" s="18">
        <v>1</v>
      </c>
      <c r="L4" s="19">
        <v>1</v>
      </c>
      <c r="M4" s="5">
        <v>0.46</v>
      </c>
      <c r="N4" s="5">
        <v>0.64</v>
      </c>
      <c r="O4" s="53">
        <f t="shared" ref="O4:O8" si="0">M4*(1-P4)+N4*P4</f>
        <v>0.57449800000000006</v>
      </c>
      <c r="P4" s="53">
        <f>P$3</f>
        <v>0.6361</v>
      </c>
      <c r="Q4" s="53">
        <f t="shared" ref="Q4:Q11" si="1">$M4*(1-R4)+$N4*R4</f>
        <v>0.55000000000000004</v>
      </c>
      <c r="R4" s="5">
        <v>0.5</v>
      </c>
    </row>
    <row r="5" spans="1:18" ht="17" x14ac:dyDescent="0.2">
      <c r="A5" s="5" t="s">
        <v>15</v>
      </c>
      <c r="B5" s="5">
        <v>1500</v>
      </c>
      <c r="C5" s="5">
        <v>3500</v>
      </c>
      <c r="D5" s="5">
        <f>IF(OR(Eingabemaske!$D$3="Schnittholz",Eingabemaske!$D$3="Lagenholz"),$G$1,$I$1)</f>
        <v>150</v>
      </c>
      <c r="E5" s="5">
        <v>1250</v>
      </c>
      <c r="F5" s="5">
        <v>2600</v>
      </c>
      <c r="G5" s="5">
        <v>1150</v>
      </c>
      <c r="H5" s="5">
        <v>2550</v>
      </c>
      <c r="I5" s="5">
        <v>600</v>
      </c>
      <c r="J5" s="5">
        <v>1650</v>
      </c>
      <c r="K5" s="18">
        <v>1</v>
      </c>
      <c r="L5" s="19">
        <v>1</v>
      </c>
      <c r="M5" s="5">
        <v>0.46</v>
      </c>
      <c r="N5" s="5">
        <v>0.64</v>
      </c>
      <c r="O5" s="53">
        <f t="shared" si="0"/>
        <v>0.57449800000000006</v>
      </c>
      <c r="P5" s="53">
        <f t="shared" ref="P5:P11" si="2">P$3</f>
        <v>0.6361</v>
      </c>
      <c r="Q5" s="53">
        <f t="shared" si="1"/>
        <v>0.55000000000000004</v>
      </c>
      <c r="R5" s="5">
        <v>0.5</v>
      </c>
    </row>
    <row r="6" spans="1:18" ht="17" x14ac:dyDescent="0.2">
      <c r="A6" s="5" t="s">
        <v>16</v>
      </c>
      <c r="B6" s="5">
        <v>1350</v>
      </c>
      <c r="C6" s="5">
        <v>3400</v>
      </c>
      <c r="D6" s="5">
        <v>1250</v>
      </c>
      <c r="E6" s="5">
        <f>IF(OR(Eingabemaske!$D$3="Schnittholz",Eingabemaske!$D$3="Lagenholz"),$G$1,$I$1)</f>
        <v>150</v>
      </c>
      <c r="F6" s="5">
        <v>3000</v>
      </c>
      <c r="G6" s="5">
        <v>950</v>
      </c>
      <c r="H6" s="5">
        <v>2900</v>
      </c>
      <c r="I6" s="5">
        <v>800</v>
      </c>
      <c r="J6" s="5">
        <v>1200</v>
      </c>
      <c r="K6" s="18">
        <v>1</v>
      </c>
      <c r="L6" s="19">
        <v>1</v>
      </c>
      <c r="M6" s="5">
        <v>0.49</v>
      </c>
      <c r="N6" s="5">
        <v>0.64</v>
      </c>
      <c r="O6" s="53">
        <f t="shared" si="0"/>
        <v>0.58541500000000002</v>
      </c>
      <c r="P6" s="53">
        <f t="shared" si="2"/>
        <v>0.6361</v>
      </c>
      <c r="Q6" s="53">
        <f t="shared" si="1"/>
        <v>0.56499999999999995</v>
      </c>
      <c r="R6" s="5">
        <v>0.5</v>
      </c>
    </row>
    <row r="7" spans="1:18" ht="17" x14ac:dyDescent="0.2">
      <c r="A7" s="5" t="s">
        <v>17</v>
      </c>
      <c r="B7" s="5">
        <v>1800</v>
      </c>
      <c r="C7" s="5">
        <v>1100</v>
      </c>
      <c r="D7" s="5">
        <v>2600</v>
      </c>
      <c r="E7" s="5">
        <v>3000</v>
      </c>
      <c r="F7" s="5">
        <f>IF(OR(Eingabemaske!$D$3="Schnittholz",Eingabemaske!$D$3="Lagenholz"),$G$1,$I$1)</f>
        <v>150</v>
      </c>
      <c r="G7" s="5">
        <v>2400</v>
      </c>
      <c r="H7" s="5">
        <v>450</v>
      </c>
      <c r="I7" s="5">
        <v>2350</v>
      </c>
      <c r="J7" s="5">
        <v>2550</v>
      </c>
      <c r="K7" s="18">
        <v>1</v>
      </c>
      <c r="L7" s="19">
        <v>1</v>
      </c>
      <c r="M7" s="5">
        <v>0.46</v>
      </c>
      <c r="N7" s="5">
        <v>0.64</v>
      </c>
      <c r="O7" s="53">
        <f t="shared" si="0"/>
        <v>0.57449800000000006</v>
      </c>
      <c r="P7" s="53">
        <f t="shared" si="2"/>
        <v>0.6361</v>
      </c>
      <c r="Q7" s="53">
        <f t="shared" si="1"/>
        <v>0.55000000000000004</v>
      </c>
      <c r="R7" s="5">
        <v>0.5</v>
      </c>
    </row>
    <row r="8" spans="1:18" ht="17" x14ac:dyDescent="0.2">
      <c r="A8" s="5" t="s">
        <v>18</v>
      </c>
      <c r="B8" s="5">
        <v>700</v>
      </c>
      <c r="C8" s="5">
        <v>2500</v>
      </c>
      <c r="D8" s="5">
        <v>1150</v>
      </c>
      <c r="E8" s="5">
        <v>950</v>
      </c>
      <c r="F8" s="5">
        <v>2400</v>
      </c>
      <c r="G8" s="5">
        <f>IF(OR(Eingabemaske!$D$3="Schnittholz",Eingabemaske!$D$3="Lagenholz"),$G$1,$I$1)</f>
        <v>150</v>
      </c>
      <c r="H8" s="5">
        <v>2200</v>
      </c>
      <c r="I8" s="5">
        <v>600</v>
      </c>
      <c r="J8" s="5">
        <v>550</v>
      </c>
      <c r="K8" s="18">
        <v>1</v>
      </c>
      <c r="L8" s="19">
        <v>1</v>
      </c>
      <c r="M8" s="5">
        <v>0.44</v>
      </c>
      <c r="N8" s="5">
        <v>0.64</v>
      </c>
      <c r="O8" s="53">
        <f t="shared" si="0"/>
        <v>0.56722000000000006</v>
      </c>
      <c r="P8" s="53">
        <f t="shared" si="2"/>
        <v>0.6361</v>
      </c>
      <c r="Q8" s="53">
        <f t="shared" si="1"/>
        <v>0.54</v>
      </c>
      <c r="R8" s="5">
        <v>0.5</v>
      </c>
    </row>
    <row r="9" spans="1:18" ht="17" x14ac:dyDescent="0.2">
      <c r="A9" s="5" t="s">
        <v>19</v>
      </c>
      <c r="B9" s="5">
        <v>1650</v>
      </c>
      <c r="C9" s="5">
        <v>700</v>
      </c>
      <c r="D9" s="5">
        <v>2550</v>
      </c>
      <c r="E9" s="5">
        <v>2900</v>
      </c>
      <c r="F9" s="5">
        <v>450</v>
      </c>
      <c r="G9" s="5">
        <v>2200</v>
      </c>
      <c r="H9" s="5">
        <f>IF(OR(Eingabemaske!$D$3="Schnittholz",Eingabemaske!$D$3="Lagenholz"),$G$1,$I$1)</f>
        <v>150</v>
      </c>
      <c r="I9" s="5">
        <v>2300</v>
      </c>
      <c r="J9" s="5">
        <v>2350</v>
      </c>
      <c r="K9" s="18">
        <v>1</v>
      </c>
      <c r="L9" s="19">
        <v>1</v>
      </c>
      <c r="M9" s="5">
        <v>0.46</v>
      </c>
      <c r="N9" s="5">
        <v>0.64</v>
      </c>
      <c r="O9" s="53">
        <f>M9*(1-P9)+N9*P9</f>
        <v>0.57449800000000006</v>
      </c>
      <c r="P9" s="53">
        <f t="shared" si="2"/>
        <v>0.6361</v>
      </c>
      <c r="Q9" s="53">
        <f t="shared" si="1"/>
        <v>0.55000000000000004</v>
      </c>
      <c r="R9" s="5">
        <v>0.5</v>
      </c>
    </row>
    <row r="10" spans="1:18" ht="17" x14ac:dyDescent="0.2">
      <c r="A10" s="5" t="s">
        <v>20</v>
      </c>
      <c r="B10" s="5">
        <v>650</v>
      </c>
      <c r="C10" s="5">
        <v>3000</v>
      </c>
      <c r="D10" s="5">
        <v>600</v>
      </c>
      <c r="E10" s="5">
        <v>800</v>
      </c>
      <c r="F10" s="5">
        <v>2350</v>
      </c>
      <c r="G10" s="5">
        <v>600</v>
      </c>
      <c r="H10" s="5">
        <v>2300</v>
      </c>
      <c r="I10" s="5">
        <f>IF(OR(Eingabemaske!$D$3="Schnittholz",Eingabemaske!$D$3="Lagenholz"),$G$1,$I$1)</f>
        <v>150</v>
      </c>
      <c r="J10" s="5">
        <v>1150</v>
      </c>
      <c r="K10" s="18">
        <v>1</v>
      </c>
      <c r="L10" s="19">
        <v>1</v>
      </c>
      <c r="M10" s="5">
        <v>0.44</v>
      </c>
      <c r="N10" s="5">
        <v>0.64</v>
      </c>
      <c r="O10" s="53">
        <f t="shared" ref="O10:O11" si="3">M10*(1-P10)+N10*P10</f>
        <v>0.58056987788331071</v>
      </c>
      <c r="P10" s="53">
        <f t="shared" ref="P10" si="4">518/(219+518)</f>
        <v>0.70284938941655362</v>
      </c>
      <c r="Q10" s="53">
        <f t="shared" si="1"/>
        <v>0.54</v>
      </c>
      <c r="R10" s="5">
        <v>0.5</v>
      </c>
    </row>
    <row r="11" spans="1:18" ht="17" x14ac:dyDescent="0.2">
      <c r="A11" s="5" t="s">
        <v>21</v>
      </c>
      <c r="B11" s="5">
        <v>1000</v>
      </c>
      <c r="C11" s="5">
        <v>2500</v>
      </c>
      <c r="D11" s="5">
        <v>1650</v>
      </c>
      <c r="E11" s="5">
        <v>1200</v>
      </c>
      <c r="F11" s="5">
        <v>2550</v>
      </c>
      <c r="G11" s="5">
        <v>550</v>
      </c>
      <c r="H11" s="5">
        <v>2350</v>
      </c>
      <c r="I11" s="5">
        <v>1150</v>
      </c>
      <c r="J11" s="5">
        <f>IF(OR(Eingabemaske!$D$3="Schnittholz",Eingabemaske!$D$3="Lagenholz"),$G$1,$I$1)</f>
        <v>150</v>
      </c>
      <c r="K11" s="18">
        <v>1</v>
      </c>
      <c r="L11" s="19">
        <v>1</v>
      </c>
      <c r="M11" s="5">
        <v>0.49</v>
      </c>
      <c r="N11" s="5">
        <v>0.64</v>
      </c>
      <c r="O11" s="53">
        <f t="shared" si="3"/>
        <v>0.58541500000000002</v>
      </c>
      <c r="P11" s="53">
        <f t="shared" si="2"/>
        <v>0.6361</v>
      </c>
      <c r="Q11" s="53">
        <f t="shared" si="1"/>
        <v>0.56499999999999995</v>
      </c>
      <c r="R11" s="5">
        <v>0.5</v>
      </c>
    </row>
    <row r="12" spans="1:18" ht="17" x14ac:dyDescent="0.2">
      <c r="A12" s="5" t="s">
        <v>58</v>
      </c>
      <c r="B12" s="5">
        <f>VLOOKUP("Schweiz",$A$2:$R$11,COLUMN(),FALSE)</f>
        <v>650</v>
      </c>
      <c r="C12" s="5">
        <f t="shared" ref="C12:Q12" si="5">VLOOKUP("Schweiz",$A$2:$R$11,COLUMN(),FALSE)</f>
        <v>3000</v>
      </c>
      <c r="D12" s="5">
        <f t="shared" si="5"/>
        <v>600</v>
      </c>
      <c r="E12" s="5">
        <f t="shared" si="5"/>
        <v>800</v>
      </c>
      <c r="F12" s="5">
        <f t="shared" si="5"/>
        <v>2350</v>
      </c>
      <c r="G12" s="5">
        <f t="shared" si="5"/>
        <v>600</v>
      </c>
      <c r="H12" s="5">
        <f t="shared" si="5"/>
        <v>2300</v>
      </c>
      <c r="I12" s="5">
        <f t="shared" si="5"/>
        <v>150</v>
      </c>
      <c r="J12" s="5">
        <f t="shared" si="5"/>
        <v>1150</v>
      </c>
      <c r="K12" s="19">
        <f t="shared" si="5"/>
        <v>1</v>
      </c>
      <c r="L12" s="19">
        <f t="shared" si="5"/>
        <v>1</v>
      </c>
      <c r="M12" s="5">
        <f t="shared" si="5"/>
        <v>0.44</v>
      </c>
      <c r="N12" s="5">
        <f t="shared" si="5"/>
        <v>0.64</v>
      </c>
      <c r="O12" s="5">
        <f t="shared" si="5"/>
        <v>0.58056987788331071</v>
      </c>
      <c r="P12" s="5">
        <f t="shared" si="5"/>
        <v>0.70284938941655362</v>
      </c>
      <c r="Q12" s="5">
        <f t="shared" si="5"/>
        <v>0.54</v>
      </c>
      <c r="R12" s="5">
        <v>0.5</v>
      </c>
    </row>
    <row r="13" spans="1:18" ht="17" x14ac:dyDescent="0.2">
      <c r="A13" s="5" t="s">
        <v>59</v>
      </c>
      <c r="B13" s="5">
        <f>(SUM(B$3:B$11)-VLOOKUP("Schweiz",$A$2:$R$11,COLUMN(),FALSE))/(COUNT(B3:B11)-1)</f>
        <v>1318.75</v>
      </c>
      <c r="C13" s="5">
        <f t="shared" ref="C13:Q13" si="6">(SUM(C$3:C$11)-VLOOKUP("Schweiz",$A$2:$R$11,COLUMN(),FALSE))/(COUNT(C3:C11)-1)</f>
        <v>2031.25</v>
      </c>
      <c r="D13" s="5">
        <f t="shared" si="6"/>
        <v>1793.75</v>
      </c>
      <c r="E13" s="5">
        <f t="shared" si="6"/>
        <v>1775</v>
      </c>
      <c r="F13" s="5">
        <f t="shared" si="6"/>
        <v>1756.25</v>
      </c>
      <c r="G13" s="5">
        <f t="shared" si="6"/>
        <v>1325</v>
      </c>
      <c r="H13" s="5">
        <f t="shared" si="6"/>
        <v>1618.75</v>
      </c>
      <c r="I13" s="5">
        <f t="shared" si="6"/>
        <v>1431.25</v>
      </c>
      <c r="J13" s="5">
        <f t="shared" si="6"/>
        <v>1493.75</v>
      </c>
      <c r="K13" s="19">
        <f t="shared" si="6"/>
        <v>1</v>
      </c>
      <c r="L13" s="19">
        <f t="shared" si="6"/>
        <v>1</v>
      </c>
      <c r="M13" s="5">
        <f t="shared" si="6"/>
        <v>0.46500000000000002</v>
      </c>
      <c r="N13" s="5">
        <f t="shared" si="6"/>
        <v>0.64124999999999999</v>
      </c>
      <c r="O13" s="5">
        <f t="shared" si="6"/>
        <v>0.57711262500000005</v>
      </c>
      <c r="P13" s="5">
        <f t="shared" si="6"/>
        <v>0.6361</v>
      </c>
      <c r="Q13" s="5">
        <f t="shared" si="6"/>
        <v>0.55312499999999998</v>
      </c>
      <c r="R13" s="5">
        <v>0.5</v>
      </c>
    </row>
    <row r="15" spans="1:18" ht="17" x14ac:dyDescent="0.2">
      <c r="A15" s="20" t="s">
        <v>385</v>
      </c>
      <c r="B15" s="20"/>
      <c r="C15" s="20"/>
      <c r="D15" s="20"/>
      <c r="E15" s="20"/>
      <c r="F15" s="20"/>
      <c r="G15" s="20"/>
      <c r="H15" s="20"/>
      <c r="I15" s="20"/>
      <c r="J15" s="20"/>
      <c r="K15" s="20"/>
      <c r="L15" s="20"/>
    </row>
    <row r="16" spans="1:18" ht="17" x14ac:dyDescent="0.2">
      <c r="A16" s="5" t="s">
        <v>389</v>
      </c>
      <c r="B16" s="5" t="s">
        <v>89</v>
      </c>
      <c r="C16" s="5">
        <v>0.8</v>
      </c>
      <c r="D16" s="5" t="s">
        <v>386</v>
      </c>
    </row>
    <row r="17" spans="1:4" ht="17" x14ac:dyDescent="0.2">
      <c r="A17" s="5" t="s">
        <v>389</v>
      </c>
      <c r="B17" s="5" t="s">
        <v>88</v>
      </c>
      <c r="C17" s="5">
        <v>1</v>
      </c>
      <c r="D17" s="5" t="s">
        <v>387</v>
      </c>
    </row>
  </sheetData>
  <sortState xmlns:xlrd2="http://schemas.microsoft.com/office/spreadsheetml/2017/richdata2" ref="A2:A10">
    <sortCondition ref="A2:A10"/>
  </sortState>
  <pageMargins left="0.7" right="0.7" top="0.78740157499999996" bottom="0.78740157499999996" header="0.3" footer="0.3"/>
  <pageSetup paperSize="9"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13</vt:i4>
      </vt:variant>
      <vt:variant>
        <vt:lpstr>Benannte Bereiche</vt:lpstr>
      </vt:variant>
      <vt:variant>
        <vt:i4>2</vt:i4>
      </vt:variant>
    </vt:vector>
  </HeadingPairs>
  <TitlesOfParts>
    <vt:vector size="15" baseType="lpstr">
      <vt:lpstr>Start</vt:lpstr>
      <vt:lpstr>Eingabemaske</vt:lpstr>
      <vt:lpstr>Auswertung Eingaben</vt:lpstr>
      <vt:lpstr>Ergebnisse Ökobilanz</vt:lpstr>
      <vt:lpstr>Berechnungsmatrix LCIA</vt:lpstr>
      <vt:lpstr>Faktoren Prozessketten</vt:lpstr>
      <vt:lpstr>LCIA openlca-export</vt:lpstr>
      <vt:lpstr>LCIA Daten manuell</vt:lpstr>
      <vt:lpstr>Transportdaten</vt:lpstr>
      <vt:lpstr>Faktoren Ressourcenkorrektur</vt:lpstr>
      <vt:lpstr>Hilfstab Eingabemaske</vt:lpstr>
      <vt:lpstr>Hilfstab Menus</vt:lpstr>
      <vt:lpstr>Pendenzen</vt:lpstr>
      <vt:lpstr>Eingabemaske!Druckbereich</vt:lpstr>
      <vt:lpstr>Start!Druckbereich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Savi</dc:creator>
  <cp:lastModifiedBy>Daniel Savi</cp:lastModifiedBy>
  <dcterms:created xsi:type="dcterms:W3CDTF">2023-06-05T13:20:04Z</dcterms:created>
  <dcterms:modified xsi:type="dcterms:W3CDTF">2024-11-01T08:24:37Z</dcterms:modified>
</cp:coreProperties>
</file>