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DieseArbeitsmappe"/>
  <mc:AlternateContent xmlns:mc="http://schemas.openxmlformats.org/markup-compatibility/2006">
    <mc:Choice Requires="x15">
      <x15ac:absPath xmlns:x15ac="http://schemas.microsoft.com/office/spreadsheetml/2010/11/ac" url="C:\Users\ahbpol\AppData\Local\Temp\"/>
    </mc:Choice>
  </mc:AlternateContent>
  <xr:revisionPtr revIDLastSave="0" documentId="8_{E46ED7C5-84D4-404D-AF65-939E58F08CAB}" xr6:coauthVersionLast="47" xr6:coauthVersionMax="47" xr10:uidLastSave="{00000000-0000-0000-0000-000000000000}"/>
  <workbookProtection workbookAlgorithmName="SHA-512" workbookHashValue="U9bM8L1vd7gm9oLEnMhj9k1e/YebbazhmLn1KZg2IRj97i30XUIXPdScZFWThUt9Bg+kB+vxXSeRYbId8uw/oA==" workbookSaltValue="rs/SYFmGw362rl8PznHBnw==" workbookSpinCount="100000" lockStructure="1"/>
  <bookViews>
    <workbookView xWindow="-120" yWindow="-120" windowWidth="29040" windowHeight="17790" tabRatio="491" xr2:uid="{00000000-000D-0000-FFFF-FFFF00000000}"/>
  </bookViews>
  <sheets>
    <sheet name="Start" sheetId="25" r:id="rId1"/>
    <sheet name="Produkt_1" sheetId="33" r:id="rId2"/>
    <sheet name="Produkt_2" sheetId="35" r:id="rId3"/>
    <sheet name="Produkt_3" sheetId="36" r:id="rId4"/>
    <sheet name="Produkt_4" sheetId="37" r:id="rId5"/>
    <sheet name="LCA-Daten" sheetId="29" state="hidden" r:id="rId6"/>
    <sheet name="Konstanten" sheetId="30" state="hidden" r:id="rId7"/>
    <sheet name="Versionierung" sheetId="32" state="hidden" r:id="rId8"/>
  </sheets>
  <definedNames>
    <definedName name="_xlnm._FilterDatabase" localSheetId="5" hidden="1">#REF!</definedName>
    <definedName name="_xlnm._FilterDatabase" hidden="1">#REF!</definedName>
    <definedName name="Anzahl" localSheetId="2">Produkt_2!$H$13</definedName>
    <definedName name="Anzahl" localSheetId="3">Produkt_3!$H$13</definedName>
    <definedName name="Anzahl" localSheetId="4">Produkt_4!$H$13</definedName>
    <definedName name="Anzahl">Produkt_1!$H$13</definedName>
    <definedName name="AnzAusblenden">Konstanten!$C$18</definedName>
    <definedName name="Ausgefuellt1" localSheetId="1">Produkt_1!$H$8</definedName>
    <definedName name="Ausgefuellt1" localSheetId="2">Produkt_2!$H$8</definedName>
    <definedName name="Ausgefuellt1" localSheetId="3">Produkt_3!$H$8</definedName>
    <definedName name="Ausgefuellt1" localSheetId="4">Produkt_4!$H$8</definedName>
    <definedName name="Beschichtung">'LCA-Daten'!$B$105:$B$107</definedName>
    <definedName name="Bezugsmaterial">'LCA-Daten'!$B$48:$B$50</definedName>
    <definedName name="DefEnEinsatz">Konstanten!#REF!</definedName>
    <definedName name="DefEnStrom">Konstanten!$C$8</definedName>
    <definedName name="DefEnStromS">Start!$P$24</definedName>
    <definedName name="DefEnWaerme">Konstanten!$C$9</definedName>
    <definedName name="DefEnWaermeS">Start!$P$26</definedName>
    <definedName name="DefMatEff">Konstanten!$C$14</definedName>
    <definedName name="DefMatEffS">Start!$P$22</definedName>
    <definedName name="DefTransD">Konstanten!$C$17</definedName>
    <definedName name="DefTransM">Konstanten!#REF!</definedName>
    <definedName name="DeklAnteilNotOK">Konstanten!$C$21</definedName>
    <definedName name="DeklAnteilOK">Konstanten!$C$20</definedName>
    <definedName name="DeklEnEinsatzNotOK">Konstanten!$C$24</definedName>
    <definedName name="DeklEnMixSnotOK">Konstanten!$C$25</definedName>
    <definedName name="DeklEnMixSOK">Konstanten!$C$27</definedName>
    <definedName name="DeklEnMixWnotOK">Konstanten!$C$26</definedName>
    <definedName name="DeklEnMixWOK">Konstanten!$C$28</definedName>
    <definedName name="DeklGewichtOK">Konstanten!$C$22</definedName>
    <definedName name="DeklMatEffNotOK">Konstanten!$C$23</definedName>
    <definedName name="_xlnm.Print_Area" localSheetId="1">Produkt_1!$A$5:$I$57</definedName>
    <definedName name="_xlnm.Print_Area" localSheetId="2">Produkt_2!$A$5:$I$57</definedName>
    <definedName name="_xlnm.Print_Area" localSheetId="3">Produkt_3!$A$5:$I$57</definedName>
    <definedName name="_xlnm.Print_Area" localSheetId="4">Produkt_4!$A$5:$I$57</definedName>
    <definedName name="_xlnm.Print_Area" localSheetId="0">Start!$A$1:$V$51</definedName>
    <definedName name="_xlnm.Print_Titles" localSheetId="1">Produkt_1!$6:$43</definedName>
    <definedName name="_xlnm.Print_Titles" localSheetId="2">Produkt_2!$6:$43</definedName>
    <definedName name="_xlnm.Print_Titles" localSheetId="3">Produkt_3!$6:$43</definedName>
    <definedName name="_xlnm.Print_Titles" localSheetId="4">Produkt_4!$6:$43</definedName>
    <definedName name="Energie">'LCA-Daten'!$B$77:$B$89</definedName>
    <definedName name="EnStromG" localSheetId="1">Produkt_1!$F$45</definedName>
    <definedName name="EnStromG" localSheetId="2">Produkt_2!$F$45</definedName>
    <definedName name="EnStromG" localSheetId="3">Produkt_3!$F$45</definedName>
    <definedName name="EnStromG" localSheetId="4">Produkt_4!$F$45</definedName>
    <definedName name="EnStromG">#REF!</definedName>
    <definedName name="EnStromS">Start!$N$24</definedName>
    <definedName name="EnWaermeG" localSheetId="1">Produkt_1!$G$45</definedName>
    <definedName name="EnWaermeG" localSheetId="2">Produkt_2!$G$45</definedName>
    <definedName name="EnWaermeG" localSheetId="3">Produkt_3!$G$45</definedName>
    <definedName name="EnWaermeG" localSheetId="4">Produkt_4!$G$45</definedName>
    <definedName name="EnWaermeG">#REF!</definedName>
    <definedName name="EnWaermeS">Start!$N$26</definedName>
    <definedName name="FaktAlu">Konstanten!$C$6</definedName>
    <definedName name="FaktChrom">Konstanten!$C$7</definedName>
    <definedName name="FaktStahl">Konstanten!$C$5</definedName>
    <definedName name="GWOEnStrom">Konstanten!$C$10</definedName>
    <definedName name="GWOEnWaerme">Konstanten!$C$12</definedName>
    <definedName name="GWOMatEff">Konstanten!$C$15</definedName>
    <definedName name="GWUEnStrom">Konstanten!$C$11</definedName>
    <definedName name="GWUEnWaerme">Konstanten!$C$13</definedName>
    <definedName name="GWUMatEff">Konstanten!$C$16</definedName>
    <definedName name="Holzwerkstoff">'LCA-Daten'!$B$26:$B$32</definedName>
    <definedName name="Klebstoff">'LCA-Daten'!#REF!</definedName>
    <definedName name="Kunststoff">'LCA-Daten'!$B$34:$B$46</definedName>
    <definedName name="LstStrom">'LCA-Daten'!$B$89:$B$97</definedName>
    <definedName name="LstWaerme">'LCA-Daten'!$B$77:$B$88</definedName>
    <definedName name="MatEffG" localSheetId="1">Produkt_1!$D$45</definedName>
    <definedName name="MatEffG" localSheetId="2">Produkt_2!$D$45</definedName>
    <definedName name="MatEffG" localSheetId="3">Produkt_3!$D$45</definedName>
    <definedName name="MatEffG" localSheetId="4">Produkt_4!$D$45</definedName>
    <definedName name="MatEffG">#REF!</definedName>
    <definedName name="MatEffS">Start!$N$22</definedName>
    <definedName name="Metalle">'LCA-Daten'!$B$16:$B$24</definedName>
    <definedName name="MxEnergieS">'LCA-Daten'!$B$89:$J$97</definedName>
    <definedName name="MxEnergieW">'LCA-Daten'!$B$77:$J$88</definedName>
    <definedName name="MxLCA">'LCA-Daten'!$B$16:$T$50</definedName>
    <definedName name="MxTransporte">'LCA-Daten'!$B$60:$X$69</definedName>
    <definedName name="RSart">Konstanten!$C$4:$F$4</definedName>
    <definedName name="Schaumstoff">'LCA-Daten'!#REF!</definedName>
    <definedName name="Transporte">'LCA-Daten'!$B$60:$B$69</definedName>
    <definedName name="Version">Versionierung!$A$25</definedName>
    <definedName name="VersionsDatum">Versionierung!$C$25</definedName>
    <definedName name="Z_0111E7B5_3E0B_11D4_8303_000102284B93_.wvu.PrintArea" hidden="1">#REF!</definedName>
    <definedName name="Z_EC51EC7F_3C0B_4CF9_8F20_C7FD08174DA8_.wvu.PrintArea" localSheetId="5" hidden="1">'LCA-Daten'!$B$6:$U$14</definedName>
    <definedName name="Z_EC51EC7F_3C0B_4CF9_8F20_C7FD08174DA8_.wvu.PrintTitles" localSheetId="5" hidden="1">'LCA-Daten'!$6:$14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42" i="33" l="1"/>
  <c r="R45" i="33"/>
  <c r="L39" i="33"/>
  <c r="D47" i="36"/>
  <c r="D47" i="37"/>
  <c r="D47" i="35"/>
  <c r="D46" i="33"/>
  <c r="D47" i="33"/>
  <c r="G46" i="36"/>
  <c r="G46" i="37"/>
  <c r="G46" i="35"/>
  <c r="G47" i="36"/>
  <c r="F47" i="36"/>
  <c r="G47" i="37"/>
  <c r="F47" i="37"/>
  <c r="G47" i="35"/>
  <c r="F47" i="35"/>
  <c r="F46" i="33"/>
  <c r="F47" i="33"/>
  <c r="G46" i="33"/>
  <c r="G47" i="33"/>
  <c r="T16" i="37"/>
  <c r="T17" i="37"/>
  <c r="T18" i="37"/>
  <c r="T19" i="37"/>
  <c r="T20" i="37"/>
  <c r="T21" i="37"/>
  <c r="T22" i="37"/>
  <c r="T23" i="37"/>
  <c r="T24" i="37"/>
  <c r="T25" i="37"/>
  <c r="T26" i="37"/>
  <c r="T27" i="37"/>
  <c r="H52" i="37"/>
  <c r="H56" i="37"/>
  <c r="T50" i="25"/>
  <c r="T16" i="36"/>
  <c r="T17" i="36"/>
  <c r="T18" i="36"/>
  <c r="T19" i="36"/>
  <c r="T20" i="36"/>
  <c r="T21" i="36"/>
  <c r="T22" i="36"/>
  <c r="T23" i="36"/>
  <c r="T24" i="36"/>
  <c r="T25" i="36"/>
  <c r="T26" i="36"/>
  <c r="T27" i="36"/>
  <c r="H52" i="36"/>
  <c r="H56" i="36"/>
  <c r="T49" i="25"/>
  <c r="T16" i="35"/>
  <c r="T17" i="35"/>
  <c r="T18" i="35"/>
  <c r="T19" i="35"/>
  <c r="T20" i="35"/>
  <c r="T21" i="35"/>
  <c r="T22" i="35"/>
  <c r="T23" i="35"/>
  <c r="T24" i="35"/>
  <c r="T25" i="35"/>
  <c r="T26" i="35"/>
  <c r="T27" i="35"/>
  <c r="H52" i="35"/>
  <c r="H56" i="35"/>
  <c r="T48" i="25"/>
  <c r="P22" i="25"/>
  <c r="M45" i="37"/>
  <c r="R16" i="37"/>
  <c r="R17" i="37"/>
  <c r="R18" i="37"/>
  <c r="R19" i="37"/>
  <c r="R20" i="37"/>
  <c r="R21" i="37"/>
  <c r="R22" i="37"/>
  <c r="R23" i="37"/>
  <c r="R24" i="37"/>
  <c r="R25" i="37"/>
  <c r="R26" i="37"/>
  <c r="R27" i="37"/>
  <c r="G52" i="37"/>
  <c r="S16" i="37"/>
  <c r="S17" i="37"/>
  <c r="S18" i="37"/>
  <c r="S19" i="37"/>
  <c r="S20" i="37"/>
  <c r="S21" i="37"/>
  <c r="S22" i="37"/>
  <c r="S23" i="37"/>
  <c r="S24" i="37"/>
  <c r="S25" i="37"/>
  <c r="S26" i="37"/>
  <c r="S27" i="37"/>
  <c r="G53" i="37"/>
  <c r="I16" i="37"/>
  <c r="I17" i="37"/>
  <c r="I18" i="37"/>
  <c r="I19" i="37"/>
  <c r="I20" i="37"/>
  <c r="I21" i="37"/>
  <c r="I22" i="37"/>
  <c r="I23" i="37"/>
  <c r="I24" i="37"/>
  <c r="I25" i="37"/>
  <c r="I26" i="37"/>
  <c r="I27" i="37"/>
  <c r="H28" i="37"/>
  <c r="F34" i="30"/>
  <c r="F35" i="30"/>
  <c r="F36" i="30"/>
  <c r="R33" i="37"/>
  <c r="G55" i="37"/>
  <c r="Y28" i="25"/>
  <c r="Y30" i="25"/>
  <c r="Y27" i="25"/>
  <c r="Z28" i="25"/>
  <c r="Z30" i="25"/>
  <c r="Z27" i="25"/>
  <c r="AA28" i="25"/>
  <c r="AA30" i="25"/>
  <c r="AA27" i="25"/>
  <c r="N30" i="25"/>
  <c r="AB28" i="25"/>
  <c r="AB30" i="25"/>
  <c r="AB27" i="25"/>
  <c r="AB42" i="25"/>
  <c r="R11" i="37"/>
  <c r="P26" i="25"/>
  <c r="R45" i="37"/>
  <c r="R42" i="37"/>
  <c r="Y22" i="25"/>
  <c r="Y24" i="25"/>
  <c r="Y19" i="25"/>
  <c r="Z22" i="25"/>
  <c r="Z24" i="25"/>
  <c r="Z19" i="25"/>
  <c r="AA22" i="25"/>
  <c r="AA24" i="25"/>
  <c r="AA19" i="25"/>
  <c r="N28" i="25"/>
  <c r="AB40" i="25"/>
  <c r="R9" i="37"/>
  <c r="P24" i="25"/>
  <c r="P45" i="37"/>
  <c r="R38" i="37"/>
  <c r="G54" i="37"/>
  <c r="G56" i="37"/>
  <c r="S50" i="25"/>
  <c r="M45" i="36"/>
  <c r="R16" i="36"/>
  <c r="R17" i="36"/>
  <c r="R18" i="36"/>
  <c r="R19" i="36"/>
  <c r="R20" i="36"/>
  <c r="R21" i="36"/>
  <c r="R22" i="36"/>
  <c r="R23" i="36"/>
  <c r="R24" i="36"/>
  <c r="R25" i="36"/>
  <c r="R26" i="36"/>
  <c r="R27" i="36"/>
  <c r="G52" i="36"/>
  <c r="S16" i="36"/>
  <c r="S17" i="36"/>
  <c r="S18" i="36"/>
  <c r="S19" i="36"/>
  <c r="S20" i="36"/>
  <c r="S21" i="36"/>
  <c r="S22" i="36"/>
  <c r="S23" i="36"/>
  <c r="S24" i="36"/>
  <c r="S25" i="36"/>
  <c r="S26" i="36"/>
  <c r="S27" i="36"/>
  <c r="G53" i="36"/>
  <c r="I16" i="36"/>
  <c r="I17" i="36"/>
  <c r="I18" i="36"/>
  <c r="I19" i="36"/>
  <c r="I20" i="36"/>
  <c r="I21" i="36"/>
  <c r="I22" i="36"/>
  <c r="I23" i="36"/>
  <c r="I24" i="36"/>
  <c r="I25" i="36"/>
  <c r="I26" i="36"/>
  <c r="I27" i="36"/>
  <c r="H28" i="36"/>
  <c r="R33" i="36"/>
  <c r="G55" i="36"/>
  <c r="R11" i="36"/>
  <c r="R45" i="36"/>
  <c r="R42" i="36"/>
  <c r="R9" i="36"/>
  <c r="P45" i="36"/>
  <c r="R38" i="36"/>
  <c r="G54" i="36"/>
  <c r="G56" i="36"/>
  <c r="S49" i="25"/>
  <c r="M45" i="35"/>
  <c r="R16" i="35"/>
  <c r="R17" i="35"/>
  <c r="R18" i="35"/>
  <c r="R19" i="35"/>
  <c r="R20" i="35"/>
  <c r="R21" i="35"/>
  <c r="R22" i="35"/>
  <c r="R23" i="35"/>
  <c r="R24" i="35"/>
  <c r="R25" i="35"/>
  <c r="R26" i="35"/>
  <c r="R27" i="35"/>
  <c r="G52" i="35"/>
  <c r="S16" i="35"/>
  <c r="S17" i="35"/>
  <c r="S18" i="35"/>
  <c r="S19" i="35"/>
  <c r="S20" i="35"/>
  <c r="S21" i="35"/>
  <c r="S22" i="35"/>
  <c r="S23" i="35"/>
  <c r="S24" i="35"/>
  <c r="S25" i="35"/>
  <c r="S26" i="35"/>
  <c r="S27" i="35"/>
  <c r="G53" i="35"/>
  <c r="I16" i="35"/>
  <c r="I17" i="35"/>
  <c r="I18" i="35"/>
  <c r="I19" i="35"/>
  <c r="I20" i="35"/>
  <c r="I21" i="35"/>
  <c r="I22" i="35"/>
  <c r="I23" i="35"/>
  <c r="I24" i="35"/>
  <c r="I25" i="35"/>
  <c r="I26" i="35"/>
  <c r="I27" i="35"/>
  <c r="H28" i="35"/>
  <c r="R33" i="35"/>
  <c r="G55" i="35"/>
  <c r="R11" i="35"/>
  <c r="R45" i="35"/>
  <c r="R42" i="35"/>
  <c r="R9" i="35"/>
  <c r="P45" i="35"/>
  <c r="R38" i="35"/>
  <c r="G54" i="35"/>
  <c r="G56" i="35"/>
  <c r="S48" i="25"/>
  <c r="P16" i="37"/>
  <c r="P17" i="37"/>
  <c r="P18" i="37"/>
  <c r="P19" i="37"/>
  <c r="P20" i="37"/>
  <c r="P21" i="37"/>
  <c r="P22" i="37"/>
  <c r="P23" i="37"/>
  <c r="P24" i="37"/>
  <c r="P25" i="37"/>
  <c r="P26" i="37"/>
  <c r="P27" i="37"/>
  <c r="F52" i="37"/>
  <c r="Q16" i="37"/>
  <c r="Q17" i="37"/>
  <c r="Q18" i="37"/>
  <c r="Q19" i="37"/>
  <c r="Q20" i="37"/>
  <c r="Q21" i="37"/>
  <c r="Q22" i="37"/>
  <c r="Q23" i="37"/>
  <c r="Q24" i="37"/>
  <c r="Q25" i="37"/>
  <c r="Q26" i="37"/>
  <c r="Q27" i="37"/>
  <c r="F53" i="37"/>
  <c r="E34" i="30"/>
  <c r="E35" i="30"/>
  <c r="E36" i="30"/>
  <c r="P33" i="37"/>
  <c r="F55" i="37"/>
  <c r="AA42" i="25"/>
  <c r="P11" i="37"/>
  <c r="P42" i="37"/>
  <c r="AA40" i="25"/>
  <c r="P9" i="37"/>
  <c r="P38" i="37"/>
  <c r="F54" i="37"/>
  <c r="F56" i="37"/>
  <c r="Q50" i="25"/>
  <c r="P16" i="36"/>
  <c r="P17" i="36"/>
  <c r="P18" i="36"/>
  <c r="P19" i="36"/>
  <c r="P20" i="36"/>
  <c r="P21" i="36"/>
  <c r="P22" i="36"/>
  <c r="P23" i="36"/>
  <c r="P24" i="36"/>
  <c r="P25" i="36"/>
  <c r="P26" i="36"/>
  <c r="P27" i="36"/>
  <c r="F52" i="36"/>
  <c r="Q16" i="36"/>
  <c r="Q17" i="36"/>
  <c r="Q18" i="36"/>
  <c r="Q19" i="36"/>
  <c r="Q20" i="36"/>
  <c r="Q21" i="36"/>
  <c r="Q22" i="36"/>
  <c r="Q23" i="36"/>
  <c r="Q24" i="36"/>
  <c r="Q25" i="36"/>
  <c r="Q26" i="36"/>
  <c r="Q27" i="36"/>
  <c r="F53" i="36"/>
  <c r="P33" i="36"/>
  <c r="F55" i="36"/>
  <c r="P11" i="36"/>
  <c r="P42" i="36"/>
  <c r="P9" i="36"/>
  <c r="P38" i="36"/>
  <c r="F54" i="36"/>
  <c r="F56" i="36"/>
  <c r="Q49" i="25"/>
  <c r="P16" i="35"/>
  <c r="P17" i="35"/>
  <c r="P18" i="35"/>
  <c r="P19" i="35"/>
  <c r="P20" i="35"/>
  <c r="P21" i="35"/>
  <c r="P22" i="35"/>
  <c r="P23" i="35"/>
  <c r="P24" i="35"/>
  <c r="P25" i="35"/>
  <c r="P26" i="35"/>
  <c r="P27" i="35"/>
  <c r="F52" i="35"/>
  <c r="Q16" i="35"/>
  <c r="Q17" i="35"/>
  <c r="Q18" i="35"/>
  <c r="Q19" i="35"/>
  <c r="Q20" i="35"/>
  <c r="Q21" i="35"/>
  <c r="Q22" i="35"/>
  <c r="Q23" i="35"/>
  <c r="Q24" i="35"/>
  <c r="Q25" i="35"/>
  <c r="Q26" i="35"/>
  <c r="Q27" i="35"/>
  <c r="F53" i="35"/>
  <c r="P33" i="35"/>
  <c r="F55" i="35"/>
  <c r="P11" i="35"/>
  <c r="P42" i="35"/>
  <c r="P9" i="35"/>
  <c r="P38" i="35"/>
  <c r="F54" i="35"/>
  <c r="F56" i="35"/>
  <c r="Q48" i="25"/>
  <c r="N16" i="37"/>
  <c r="N17" i="37"/>
  <c r="N18" i="37"/>
  <c r="N19" i="37"/>
  <c r="N20" i="37"/>
  <c r="N21" i="37"/>
  <c r="N22" i="37"/>
  <c r="N23" i="37"/>
  <c r="N24" i="37"/>
  <c r="N25" i="37"/>
  <c r="N26" i="37"/>
  <c r="N27" i="37"/>
  <c r="E52" i="37"/>
  <c r="O16" i="37"/>
  <c r="O17" i="37"/>
  <c r="O18" i="37"/>
  <c r="O19" i="37"/>
  <c r="O20" i="37"/>
  <c r="O21" i="37"/>
  <c r="O22" i="37"/>
  <c r="O23" i="37"/>
  <c r="O24" i="37"/>
  <c r="O25" i="37"/>
  <c r="O26" i="37"/>
  <c r="O27" i="37"/>
  <c r="E53" i="37"/>
  <c r="D34" i="30"/>
  <c r="D35" i="30"/>
  <c r="D36" i="30"/>
  <c r="N33" i="37"/>
  <c r="E55" i="37"/>
  <c r="Z42" i="25"/>
  <c r="N11" i="37"/>
  <c r="N42" i="37"/>
  <c r="Z40" i="25"/>
  <c r="N9" i="37"/>
  <c r="N38" i="37"/>
  <c r="E54" i="37"/>
  <c r="E56" i="37"/>
  <c r="P50" i="25"/>
  <c r="N16" i="36"/>
  <c r="N17" i="36"/>
  <c r="N18" i="36"/>
  <c r="N19" i="36"/>
  <c r="N20" i="36"/>
  <c r="N21" i="36"/>
  <c r="N22" i="36"/>
  <c r="N23" i="36"/>
  <c r="N24" i="36"/>
  <c r="N25" i="36"/>
  <c r="N26" i="36"/>
  <c r="N27" i="36"/>
  <c r="E52" i="36"/>
  <c r="O16" i="36"/>
  <c r="O17" i="36"/>
  <c r="O18" i="36"/>
  <c r="O19" i="36"/>
  <c r="O20" i="36"/>
  <c r="O21" i="36"/>
  <c r="O22" i="36"/>
  <c r="O23" i="36"/>
  <c r="O24" i="36"/>
  <c r="O25" i="36"/>
  <c r="O26" i="36"/>
  <c r="O27" i="36"/>
  <c r="E53" i="36"/>
  <c r="N33" i="36"/>
  <c r="E55" i="36"/>
  <c r="N11" i="36"/>
  <c r="N42" i="36"/>
  <c r="N9" i="36"/>
  <c r="N38" i="36"/>
  <c r="E54" i="36"/>
  <c r="E56" i="36"/>
  <c r="P49" i="25"/>
  <c r="N16" i="35"/>
  <c r="N17" i="35"/>
  <c r="N18" i="35"/>
  <c r="N19" i="35"/>
  <c r="N20" i="35"/>
  <c r="N21" i="35"/>
  <c r="N22" i="35"/>
  <c r="N23" i="35"/>
  <c r="N24" i="35"/>
  <c r="N25" i="35"/>
  <c r="N26" i="35"/>
  <c r="N27" i="35"/>
  <c r="E52" i="35"/>
  <c r="O16" i="35"/>
  <c r="O17" i="35"/>
  <c r="O18" i="35"/>
  <c r="O19" i="35"/>
  <c r="O20" i="35"/>
  <c r="O21" i="35"/>
  <c r="O22" i="35"/>
  <c r="O23" i="35"/>
  <c r="O24" i="35"/>
  <c r="O25" i="35"/>
  <c r="O26" i="35"/>
  <c r="O27" i="35"/>
  <c r="E53" i="35"/>
  <c r="N33" i="35"/>
  <c r="E55" i="35"/>
  <c r="N11" i="35"/>
  <c r="N42" i="35"/>
  <c r="N9" i="35"/>
  <c r="N38" i="35"/>
  <c r="E54" i="35"/>
  <c r="E56" i="35"/>
  <c r="P48" i="25"/>
  <c r="L16" i="37"/>
  <c r="L17" i="37"/>
  <c r="L18" i="37"/>
  <c r="L19" i="37"/>
  <c r="L20" i="37"/>
  <c r="L21" i="37"/>
  <c r="L22" i="37"/>
  <c r="L23" i="37"/>
  <c r="L24" i="37"/>
  <c r="L25" i="37"/>
  <c r="L26" i="37"/>
  <c r="L27" i="37"/>
  <c r="D52" i="37"/>
  <c r="M16" i="37"/>
  <c r="M17" i="37"/>
  <c r="M18" i="37"/>
  <c r="M19" i="37"/>
  <c r="M20" i="37"/>
  <c r="M21" i="37"/>
  <c r="M22" i="37"/>
  <c r="M23" i="37"/>
  <c r="M24" i="37"/>
  <c r="M25" i="37"/>
  <c r="M26" i="37"/>
  <c r="M27" i="37"/>
  <c r="D53" i="37"/>
  <c r="C34" i="30"/>
  <c r="C35" i="30"/>
  <c r="C36" i="30"/>
  <c r="L33" i="37"/>
  <c r="D55" i="37"/>
  <c r="Y42" i="25"/>
  <c r="L11" i="37"/>
  <c r="L42" i="37"/>
  <c r="Y40" i="25"/>
  <c r="L9" i="37"/>
  <c r="L38" i="37"/>
  <c r="D54" i="37"/>
  <c r="D56" i="37"/>
  <c r="O50" i="25"/>
  <c r="L16" i="36"/>
  <c r="L17" i="36"/>
  <c r="L18" i="36"/>
  <c r="L19" i="36"/>
  <c r="L20" i="36"/>
  <c r="L21" i="36"/>
  <c r="L22" i="36"/>
  <c r="L23" i="36"/>
  <c r="L24" i="36"/>
  <c r="L25" i="36"/>
  <c r="L26" i="36"/>
  <c r="L27" i="36"/>
  <c r="D52" i="36"/>
  <c r="M16" i="36"/>
  <c r="M17" i="36"/>
  <c r="M18" i="36"/>
  <c r="M19" i="36"/>
  <c r="M20" i="36"/>
  <c r="M21" i="36"/>
  <c r="M22" i="36"/>
  <c r="M23" i="36"/>
  <c r="M24" i="36"/>
  <c r="M25" i="36"/>
  <c r="M26" i="36"/>
  <c r="M27" i="36"/>
  <c r="D53" i="36"/>
  <c r="L33" i="36"/>
  <c r="D55" i="36"/>
  <c r="L11" i="36"/>
  <c r="L42" i="36"/>
  <c r="L9" i="36"/>
  <c r="L38" i="36"/>
  <c r="D54" i="36"/>
  <c r="D56" i="36"/>
  <c r="O49" i="25"/>
  <c r="L16" i="35"/>
  <c r="L17" i="35"/>
  <c r="L18" i="35"/>
  <c r="L19" i="35"/>
  <c r="L20" i="35"/>
  <c r="L21" i="35"/>
  <c r="L22" i="35"/>
  <c r="L23" i="35"/>
  <c r="L24" i="35"/>
  <c r="L25" i="35"/>
  <c r="L26" i="35"/>
  <c r="L27" i="35"/>
  <c r="D52" i="35"/>
  <c r="M16" i="35"/>
  <c r="M17" i="35"/>
  <c r="M18" i="35"/>
  <c r="M19" i="35"/>
  <c r="M20" i="35"/>
  <c r="M21" i="35"/>
  <c r="M22" i="35"/>
  <c r="M23" i="35"/>
  <c r="M24" i="35"/>
  <c r="M25" i="35"/>
  <c r="M26" i="35"/>
  <c r="M27" i="35"/>
  <c r="D53" i="35"/>
  <c r="L33" i="35"/>
  <c r="D55" i="35"/>
  <c r="L11" i="35"/>
  <c r="L42" i="35"/>
  <c r="L9" i="35"/>
  <c r="L38" i="35"/>
  <c r="D54" i="35"/>
  <c r="D56" i="35"/>
  <c r="O48" i="25"/>
  <c r="M50" i="25"/>
  <c r="M49" i="25"/>
  <c r="M48" i="25"/>
  <c r="M47" i="25"/>
  <c r="Y26" i="25"/>
  <c r="Z26" i="25"/>
  <c r="AA26" i="25"/>
  <c r="AB22" i="25"/>
  <c r="AB24" i="25"/>
  <c r="AB26" i="25"/>
  <c r="AB19" i="25"/>
  <c r="Y32" i="25"/>
  <c r="Z32" i="25"/>
  <c r="AA32" i="25"/>
  <c r="AB32" i="25"/>
  <c r="T50" i="37"/>
  <c r="R50" i="37"/>
  <c r="P50" i="37"/>
  <c r="N50" i="37"/>
  <c r="L50" i="37"/>
  <c r="F46" i="37"/>
  <c r="D46" i="37"/>
  <c r="H42" i="37"/>
  <c r="D42" i="37"/>
  <c r="R41" i="37"/>
  <c r="P41" i="37"/>
  <c r="N41" i="37"/>
  <c r="L41" i="37"/>
  <c r="I41" i="37"/>
  <c r="R40" i="37"/>
  <c r="P40" i="37"/>
  <c r="N40" i="37"/>
  <c r="L40" i="37"/>
  <c r="I40" i="37"/>
  <c r="R39" i="37"/>
  <c r="P39" i="37"/>
  <c r="N39" i="37"/>
  <c r="L39" i="37"/>
  <c r="I39" i="37"/>
  <c r="H38" i="37"/>
  <c r="D38" i="37"/>
  <c r="R37" i="37"/>
  <c r="P37" i="37"/>
  <c r="N37" i="37"/>
  <c r="L37" i="37"/>
  <c r="I37" i="37"/>
  <c r="R36" i="37"/>
  <c r="P36" i="37"/>
  <c r="N36" i="37"/>
  <c r="L36" i="37"/>
  <c r="I36" i="37"/>
  <c r="R35" i="37"/>
  <c r="P35" i="37"/>
  <c r="N35" i="37"/>
  <c r="L35" i="37"/>
  <c r="I35" i="37"/>
  <c r="R32" i="37"/>
  <c r="P32" i="37"/>
  <c r="N32" i="37"/>
  <c r="L32" i="37"/>
  <c r="I32" i="37"/>
  <c r="R31" i="37"/>
  <c r="P31" i="37"/>
  <c r="N31" i="37"/>
  <c r="L31" i="37"/>
  <c r="I31" i="37"/>
  <c r="R30" i="37"/>
  <c r="P30" i="37"/>
  <c r="N30" i="37"/>
  <c r="L30" i="37"/>
  <c r="I30" i="37"/>
  <c r="D28" i="37"/>
  <c r="H8" i="37"/>
  <c r="C8" i="37"/>
  <c r="H6" i="37"/>
  <c r="G6" i="37"/>
  <c r="C8" i="36"/>
  <c r="T50" i="36"/>
  <c r="R50" i="36"/>
  <c r="P50" i="36"/>
  <c r="N50" i="36"/>
  <c r="L50" i="36"/>
  <c r="F46" i="36"/>
  <c r="D46" i="36"/>
  <c r="H42" i="36"/>
  <c r="D42" i="36"/>
  <c r="R41" i="36"/>
  <c r="P41" i="36"/>
  <c r="N41" i="36"/>
  <c r="L41" i="36"/>
  <c r="I41" i="36"/>
  <c r="R40" i="36"/>
  <c r="P40" i="36"/>
  <c r="N40" i="36"/>
  <c r="L40" i="36"/>
  <c r="I40" i="36"/>
  <c r="R39" i="36"/>
  <c r="P39" i="36"/>
  <c r="N39" i="36"/>
  <c r="L39" i="36"/>
  <c r="I39" i="36"/>
  <c r="H38" i="36"/>
  <c r="D38" i="36"/>
  <c r="R37" i="36"/>
  <c r="P37" i="36"/>
  <c r="N37" i="36"/>
  <c r="L37" i="36"/>
  <c r="I37" i="36"/>
  <c r="R36" i="36"/>
  <c r="P36" i="36"/>
  <c r="N36" i="36"/>
  <c r="L36" i="36"/>
  <c r="I36" i="36"/>
  <c r="R35" i="36"/>
  <c r="P35" i="36"/>
  <c r="N35" i="36"/>
  <c r="L35" i="36"/>
  <c r="I35" i="36"/>
  <c r="R32" i="36"/>
  <c r="P32" i="36"/>
  <c r="N32" i="36"/>
  <c r="L32" i="36"/>
  <c r="I32" i="36"/>
  <c r="R31" i="36"/>
  <c r="P31" i="36"/>
  <c r="N31" i="36"/>
  <c r="L31" i="36"/>
  <c r="I31" i="36"/>
  <c r="R30" i="36"/>
  <c r="P30" i="36"/>
  <c r="N30" i="36"/>
  <c r="L30" i="36"/>
  <c r="I30" i="36"/>
  <c r="D28" i="36"/>
  <c r="H8" i="36"/>
  <c r="H6" i="36"/>
  <c r="G6" i="36"/>
  <c r="C8" i="35"/>
  <c r="T50" i="35"/>
  <c r="R50" i="35"/>
  <c r="P50" i="35"/>
  <c r="N50" i="35"/>
  <c r="L50" i="35"/>
  <c r="F46" i="35"/>
  <c r="D46" i="35"/>
  <c r="H42" i="35"/>
  <c r="D42" i="35"/>
  <c r="R41" i="35"/>
  <c r="P41" i="35"/>
  <c r="N41" i="35"/>
  <c r="L41" i="35"/>
  <c r="I41" i="35"/>
  <c r="R40" i="35"/>
  <c r="P40" i="35"/>
  <c r="N40" i="35"/>
  <c r="L40" i="35"/>
  <c r="I40" i="35"/>
  <c r="R39" i="35"/>
  <c r="P39" i="35"/>
  <c r="N39" i="35"/>
  <c r="L39" i="35"/>
  <c r="I39" i="35"/>
  <c r="H38" i="35"/>
  <c r="D38" i="35"/>
  <c r="R37" i="35"/>
  <c r="P37" i="35"/>
  <c r="N37" i="35"/>
  <c r="L37" i="35"/>
  <c r="I37" i="35"/>
  <c r="R36" i="35"/>
  <c r="P36" i="35"/>
  <c r="N36" i="35"/>
  <c r="L36" i="35"/>
  <c r="I36" i="35"/>
  <c r="R35" i="35"/>
  <c r="P35" i="35"/>
  <c r="N35" i="35"/>
  <c r="L35" i="35"/>
  <c r="I35" i="35"/>
  <c r="R32" i="35"/>
  <c r="P32" i="35"/>
  <c r="N32" i="35"/>
  <c r="L32" i="35"/>
  <c r="I32" i="35"/>
  <c r="R31" i="35"/>
  <c r="P31" i="35"/>
  <c r="N31" i="35"/>
  <c r="L31" i="35"/>
  <c r="I31" i="35"/>
  <c r="R30" i="35"/>
  <c r="P30" i="35"/>
  <c r="N30" i="35"/>
  <c r="L30" i="35"/>
  <c r="I30" i="35"/>
  <c r="D28" i="35"/>
  <c r="H8" i="35"/>
  <c r="H6" i="35"/>
  <c r="G6" i="35"/>
  <c r="M45" i="33"/>
  <c r="L16" i="33"/>
  <c r="I16" i="33"/>
  <c r="I17" i="33"/>
  <c r="I18" i="33"/>
  <c r="I19" i="33"/>
  <c r="I20" i="33"/>
  <c r="I21" i="33"/>
  <c r="I22" i="33"/>
  <c r="I23" i="33"/>
  <c r="I24" i="33"/>
  <c r="I25" i="33"/>
  <c r="I26" i="33"/>
  <c r="I27" i="33"/>
  <c r="H28" i="33"/>
  <c r="R30" i="33"/>
  <c r="R31" i="33"/>
  <c r="R32" i="33"/>
  <c r="R33" i="33"/>
  <c r="G55" i="33"/>
  <c r="P30" i="33"/>
  <c r="P31" i="33"/>
  <c r="P32" i="33"/>
  <c r="P33" i="33"/>
  <c r="F55" i="33"/>
  <c r="T16" i="33"/>
  <c r="T17" i="33"/>
  <c r="T18" i="33"/>
  <c r="T19" i="33"/>
  <c r="T20" i="33"/>
  <c r="T21" i="33"/>
  <c r="T22" i="33"/>
  <c r="T23" i="33"/>
  <c r="T24" i="33"/>
  <c r="T25" i="33"/>
  <c r="T26" i="33"/>
  <c r="T27" i="33"/>
  <c r="T50" i="33"/>
  <c r="R16" i="33"/>
  <c r="R17" i="33"/>
  <c r="R18" i="33"/>
  <c r="R19" i="33"/>
  <c r="R20" i="33"/>
  <c r="R21" i="33"/>
  <c r="R22" i="33"/>
  <c r="R23" i="33"/>
  <c r="R24" i="33"/>
  <c r="R25" i="33"/>
  <c r="R26" i="33"/>
  <c r="R27" i="33"/>
  <c r="S16" i="33"/>
  <c r="S17" i="33"/>
  <c r="S18" i="33"/>
  <c r="S19" i="33"/>
  <c r="S20" i="33"/>
  <c r="S21" i="33"/>
  <c r="S22" i="33"/>
  <c r="S23" i="33"/>
  <c r="S24" i="33"/>
  <c r="S25" i="33"/>
  <c r="S26" i="33"/>
  <c r="S27" i="33"/>
  <c r="R9" i="33"/>
  <c r="P45" i="33"/>
  <c r="H38" i="33"/>
  <c r="R35" i="33"/>
  <c r="R36" i="33"/>
  <c r="R37" i="33"/>
  <c r="R38" i="33"/>
  <c r="R11" i="33"/>
  <c r="R39" i="33"/>
  <c r="R40" i="33"/>
  <c r="R41" i="33"/>
  <c r="R42" i="33"/>
  <c r="R50" i="33"/>
  <c r="P16" i="33"/>
  <c r="P17" i="33"/>
  <c r="P18" i="33"/>
  <c r="P19" i="33"/>
  <c r="P20" i="33"/>
  <c r="P21" i="33"/>
  <c r="P22" i="33"/>
  <c r="P23" i="33"/>
  <c r="P24" i="33"/>
  <c r="P25" i="33"/>
  <c r="P26" i="33"/>
  <c r="P27" i="33"/>
  <c r="Q16" i="33"/>
  <c r="Q17" i="33"/>
  <c r="Q18" i="33"/>
  <c r="Q19" i="33"/>
  <c r="Q20" i="33"/>
  <c r="Q21" i="33"/>
  <c r="Q22" i="33"/>
  <c r="Q23" i="33"/>
  <c r="Q24" i="33"/>
  <c r="Q25" i="33"/>
  <c r="Q26" i="33"/>
  <c r="Q27" i="33"/>
  <c r="P9" i="33"/>
  <c r="P35" i="33"/>
  <c r="P36" i="33"/>
  <c r="P37" i="33"/>
  <c r="P38" i="33"/>
  <c r="P11" i="33"/>
  <c r="P39" i="33"/>
  <c r="P40" i="33"/>
  <c r="P41" i="33"/>
  <c r="P42" i="33"/>
  <c r="P50" i="33"/>
  <c r="N16" i="33"/>
  <c r="N17" i="33"/>
  <c r="N18" i="33"/>
  <c r="N19" i="33"/>
  <c r="N20" i="33"/>
  <c r="N21" i="33"/>
  <c r="N22" i="33"/>
  <c r="N23" i="33"/>
  <c r="N24" i="33"/>
  <c r="N25" i="33"/>
  <c r="N26" i="33"/>
  <c r="N27" i="33"/>
  <c r="O16" i="33"/>
  <c r="O17" i="33"/>
  <c r="O18" i="33"/>
  <c r="O19" i="33"/>
  <c r="O20" i="33"/>
  <c r="O21" i="33"/>
  <c r="O22" i="33"/>
  <c r="O23" i="33"/>
  <c r="O24" i="33"/>
  <c r="O25" i="33"/>
  <c r="O26" i="33"/>
  <c r="O27" i="33"/>
  <c r="N30" i="33"/>
  <c r="N31" i="33"/>
  <c r="N32" i="33"/>
  <c r="N33" i="33"/>
  <c r="N9" i="33"/>
  <c r="N35" i="33"/>
  <c r="N36" i="33"/>
  <c r="N37" i="33"/>
  <c r="N38" i="33"/>
  <c r="N11" i="33"/>
  <c r="N39" i="33"/>
  <c r="N40" i="33"/>
  <c r="N41" i="33"/>
  <c r="N42" i="33"/>
  <c r="N50" i="33"/>
  <c r="L17" i="33"/>
  <c r="L18" i="33"/>
  <c r="L19" i="33"/>
  <c r="L20" i="33"/>
  <c r="L21" i="33"/>
  <c r="L22" i="33"/>
  <c r="L23" i="33"/>
  <c r="L24" i="33"/>
  <c r="L25" i="33"/>
  <c r="L26" i="33"/>
  <c r="L27" i="33"/>
  <c r="M16" i="33"/>
  <c r="M17" i="33"/>
  <c r="M18" i="33"/>
  <c r="M19" i="33"/>
  <c r="M20" i="33"/>
  <c r="M21" i="33"/>
  <c r="M22" i="33"/>
  <c r="M23" i="33"/>
  <c r="M24" i="33"/>
  <c r="M25" i="33"/>
  <c r="M26" i="33"/>
  <c r="M27" i="33"/>
  <c r="L30" i="33"/>
  <c r="L31" i="33"/>
  <c r="L32" i="33"/>
  <c r="L33" i="33"/>
  <c r="L9" i="33"/>
  <c r="L35" i="33"/>
  <c r="L36" i="33"/>
  <c r="L37" i="33"/>
  <c r="L38" i="33"/>
  <c r="L11" i="33"/>
  <c r="L40" i="33"/>
  <c r="L41" i="33"/>
  <c r="L42" i="33"/>
  <c r="L50" i="33"/>
  <c r="D55" i="33"/>
  <c r="E55" i="33"/>
  <c r="E54" i="33"/>
  <c r="E53" i="33"/>
  <c r="E52" i="33"/>
  <c r="B36" i="30"/>
  <c r="D45" i="30"/>
  <c r="D46" i="30"/>
  <c r="D47" i="30"/>
  <c r="D48" i="30"/>
  <c r="E45" i="30"/>
  <c r="E46" i="30"/>
  <c r="E47" i="30"/>
  <c r="E48" i="30"/>
  <c r="F45" i="30"/>
  <c r="F46" i="30"/>
  <c r="F47" i="30"/>
  <c r="F48" i="30"/>
  <c r="C45" i="30"/>
  <c r="C46" i="30"/>
  <c r="C47" i="30"/>
  <c r="C48" i="30"/>
  <c r="B48" i="30"/>
  <c r="C39" i="30"/>
  <c r="C40" i="30"/>
  <c r="C41" i="30"/>
  <c r="C42" i="30"/>
  <c r="D39" i="30"/>
  <c r="D40" i="30"/>
  <c r="D41" i="30"/>
  <c r="D42" i="30"/>
  <c r="E39" i="30"/>
  <c r="E40" i="30"/>
  <c r="E41" i="30"/>
  <c r="E42" i="30"/>
  <c r="F39" i="30"/>
  <c r="F40" i="30"/>
  <c r="F41" i="30"/>
  <c r="F42" i="30"/>
  <c r="B42" i="30"/>
  <c r="Z34" i="25"/>
  <c r="AA34" i="25"/>
  <c r="AB34" i="25"/>
  <c r="Z35" i="25"/>
  <c r="AA35" i="25"/>
  <c r="AB35" i="25"/>
  <c r="Y35" i="25"/>
  <c r="C25" i="32" a="1"/>
  <c r="C25" i="32"/>
  <c r="H6" i="33"/>
  <c r="G6" i="33"/>
  <c r="H52" i="33"/>
  <c r="H56" i="33"/>
  <c r="T47" i="25"/>
  <c r="G54" i="33"/>
  <c r="G52" i="33"/>
  <c r="G53" i="33"/>
  <c r="G56" i="33"/>
  <c r="S47" i="25"/>
  <c r="F54" i="33"/>
  <c r="F52" i="33"/>
  <c r="F53" i="33"/>
  <c r="F56" i="33"/>
  <c r="Q47" i="25"/>
  <c r="D54" i="33"/>
  <c r="D52" i="33"/>
  <c r="D53" i="33"/>
  <c r="D56" i="33"/>
  <c r="O47" i="25"/>
  <c r="E56" i="33"/>
  <c r="P47" i="25"/>
  <c r="I41" i="33"/>
  <c r="I40" i="33"/>
  <c r="I39" i="33"/>
  <c r="I36" i="33"/>
  <c r="I37" i="33"/>
  <c r="I35" i="33"/>
  <c r="C8" i="33"/>
  <c r="U33" i="25"/>
  <c r="U27" i="25"/>
  <c r="D42" i="33"/>
  <c r="D38" i="33"/>
  <c r="D28" i="33"/>
  <c r="I32" i="33"/>
  <c r="I31" i="33"/>
  <c r="I30" i="33"/>
  <c r="H8" i="33"/>
  <c r="T39" i="29"/>
  <c r="C7" i="30"/>
  <c r="T22" i="29"/>
  <c r="C6" i="30"/>
  <c r="T18" i="29"/>
  <c r="C5" i="30"/>
  <c r="T23" i="29"/>
  <c r="J22" i="29"/>
  <c r="R22" i="29"/>
  <c r="F22" i="29"/>
  <c r="G18" i="29"/>
  <c r="I23" i="29"/>
  <c r="C39" i="29"/>
  <c r="F39" i="29"/>
  <c r="G39" i="29"/>
  <c r="H39" i="29"/>
  <c r="I39" i="29"/>
  <c r="J39" i="29"/>
  <c r="K39" i="29"/>
  <c r="L39" i="29"/>
  <c r="M39" i="29"/>
  <c r="N39" i="29"/>
  <c r="O39" i="29"/>
  <c r="P39" i="29"/>
  <c r="Q39" i="29"/>
  <c r="R39" i="29"/>
  <c r="S39" i="29"/>
  <c r="E39" i="29"/>
  <c r="F4" i="30"/>
  <c r="E4" i="30"/>
  <c r="N22" i="29"/>
  <c r="R18" i="29"/>
  <c r="F18" i="29"/>
  <c r="E18" i="29"/>
  <c r="N18" i="29"/>
  <c r="J18" i="29"/>
  <c r="M18" i="29"/>
  <c r="Q18" i="29"/>
  <c r="I18" i="29"/>
  <c r="Q22" i="29"/>
  <c r="M22" i="29"/>
  <c r="I22" i="29"/>
  <c r="P18" i="29"/>
  <c r="L18" i="29"/>
  <c r="H18" i="29"/>
  <c r="E22" i="29"/>
  <c r="P22" i="29"/>
  <c r="L22" i="29"/>
  <c r="H22" i="29"/>
  <c r="S18" i="29"/>
  <c r="O18" i="29"/>
  <c r="K18" i="29"/>
  <c r="S22" i="29"/>
  <c r="O22" i="29"/>
  <c r="K22" i="29"/>
  <c r="G22" i="29"/>
  <c r="E23" i="29"/>
  <c r="P23" i="29"/>
  <c r="L23" i="29"/>
  <c r="H23" i="29"/>
  <c r="S23" i="29"/>
  <c r="O23" i="29"/>
  <c r="K23" i="29"/>
  <c r="G23" i="29"/>
  <c r="F23" i="29"/>
  <c r="R23" i="29"/>
  <c r="N23" i="29"/>
  <c r="J23" i="29"/>
  <c r="Q23" i="29"/>
  <c r="M23" i="29"/>
  <c r="D4" i="30"/>
  <c r="C4" i="30"/>
  <c r="H4" i="25"/>
  <c r="A25" i="32" a="1"/>
  <c r="A25" i="32"/>
  <c r="G4" i="25"/>
  <c r="Y34" i="25"/>
</calcChain>
</file>

<file path=xl/sharedStrings.xml><?xml version="1.0" encoding="utf-8"?>
<sst xmlns="http://schemas.openxmlformats.org/spreadsheetml/2006/main" count="1062" uniqueCount="422">
  <si>
    <t>Version:</t>
  </si>
  <si>
    <t>Total</t>
  </si>
  <si>
    <t>Entsorgung</t>
  </si>
  <si>
    <t>Unterschrift:</t>
  </si>
  <si>
    <t>Herstellung</t>
  </si>
  <si>
    <t>Ökobilanzdaten im Baubereich</t>
  </si>
  <si>
    <t>Total, renewable</t>
  </si>
  <si>
    <t>Total, non-renewable</t>
  </si>
  <si>
    <t>IPCC GWP 100a, specific CF for aviation</t>
  </si>
  <si>
    <t>ID-Nummer</t>
  </si>
  <si>
    <t>Rohdichte/
Flächen-masse</t>
  </si>
  <si>
    <r>
      <t xml:space="preserve">Bezug
</t>
    </r>
    <r>
      <rPr>
        <b/>
        <i/>
        <sz val="9"/>
        <rFont val="Arial"/>
        <family val="2"/>
      </rPr>
      <t>Référence</t>
    </r>
  </si>
  <si>
    <t>UBP'13</t>
  </si>
  <si>
    <r>
      <t xml:space="preserve">Primärenergie 
</t>
    </r>
    <r>
      <rPr>
        <b/>
        <i/>
        <sz val="9"/>
        <rFont val="Arial"/>
        <family val="2"/>
      </rPr>
      <t>Energie primaire</t>
    </r>
  </si>
  <si>
    <t>Treibhaus-
gasemissionen</t>
  </si>
  <si>
    <t>No d'identi-fication</t>
  </si>
  <si>
    <t>UBP</t>
  </si>
  <si>
    <t>gesamt</t>
  </si>
  <si>
    <t>erneuerbar</t>
  </si>
  <si>
    <t>nicht erneuerbar (Graue Energie)</t>
  </si>
  <si>
    <t>Emissions de gaz</t>
  </si>
  <si>
    <t>Masse volumique/  surface</t>
  </si>
  <si>
    <t>globale</t>
  </si>
  <si>
    <t>renouvelable</t>
  </si>
  <si>
    <t>non renouvelable (énergie grise)</t>
  </si>
  <si>
    <t>à effet de serre</t>
  </si>
  <si>
    <t>Fabrication</t>
  </si>
  <si>
    <t>Elimination</t>
  </si>
  <si>
    <t>kWh oil-eq</t>
  </si>
  <si>
    <r>
      <t>kg CO</t>
    </r>
    <r>
      <rPr>
        <vertAlign val="subscript"/>
        <sz val="8"/>
        <rFont val="Arial"/>
        <family val="2"/>
      </rPr>
      <t>2</t>
    </r>
    <r>
      <rPr>
        <sz val="8"/>
        <rFont val="Arial"/>
        <family val="2"/>
      </rPr>
      <t>-eq</t>
    </r>
  </si>
  <si>
    <r>
      <t>kg/m</t>
    </r>
    <r>
      <rPr>
        <b/>
        <vertAlign val="superscript"/>
        <sz val="10"/>
        <rFont val="Arial"/>
        <family val="2"/>
      </rPr>
      <t>3</t>
    </r>
  </si>
  <si>
    <t>kg</t>
  </si>
  <si>
    <t>Firma:</t>
  </si>
  <si>
    <t>Funktion:</t>
  </si>
  <si>
    <t>Mobiliarrechner</t>
  </si>
  <si>
    <t>Konstanten</t>
  </si>
  <si>
    <t>Name</t>
  </si>
  <si>
    <t>Wert 1</t>
  </si>
  <si>
    <t>Wert 2</t>
  </si>
  <si>
    <t>Wert 3</t>
  </si>
  <si>
    <t>Wert 4</t>
  </si>
  <si>
    <t>Wert 5</t>
  </si>
  <si>
    <t>Wert 6</t>
  </si>
  <si>
    <t>Wert 7</t>
  </si>
  <si>
    <t>Wert 8</t>
  </si>
  <si>
    <t>Wert 9</t>
  </si>
  <si>
    <t>Wert 10</t>
  </si>
  <si>
    <t>Versionierung</t>
  </si>
  <si>
    <t>Beschrieb</t>
  </si>
  <si>
    <t>Datum</t>
  </si>
  <si>
    <t>Zuständig</t>
  </si>
  <si>
    <t>intep/le</t>
  </si>
  <si>
    <t>Version</t>
  </si>
  <si>
    <t>Rechner erstellt</t>
  </si>
  <si>
    <t>Telefon:</t>
  </si>
  <si>
    <t>E-Mail:</t>
  </si>
  <si>
    <t>Bezeichnung</t>
  </si>
  <si>
    <t>Bemerkungen</t>
  </si>
  <si>
    <t>Kunststoff</t>
  </si>
  <si>
    <t>RSart</t>
  </si>
  <si>
    <t>Transporte</t>
  </si>
  <si>
    <t>06</t>
  </si>
  <si>
    <t>-</t>
  </si>
  <si>
    <t>06.002</t>
  </si>
  <si>
    <t>06.004</t>
  </si>
  <si>
    <t>06.010</t>
  </si>
  <si>
    <t>06.011</t>
  </si>
  <si>
    <t>07</t>
  </si>
  <si>
    <t>07.001</t>
  </si>
  <si>
    <t>07.008</t>
  </si>
  <si>
    <t>07.012</t>
  </si>
  <si>
    <t>07.013</t>
  </si>
  <si>
    <t>07.016</t>
  </si>
  <si>
    <t>07.014</t>
  </si>
  <si>
    <t>07.017</t>
  </si>
  <si>
    <t>09.004</t>
  </si>
  <si>
    <t>09.008</t>
  </si>
  <si>
    <t>Polyethylenvlies (PE)</t>
  </si>
  <si>
    <t>10.006</t>
  </si>
  <si>
    <r>
      <t>kg/m</t>
    </r>
    <r>
      <rPr>
        <b/>
        <vertAlign val="superscript"/>
        <sz val="10"/>
        <rFont val="Arial"/>
        <family val="2"/>
      </rPr>
      <t>2</t>
    </r>
  </si>
  <si>
    <r>
      <t>m</t>
    </r>
    <r>
      <rPr>
        <vertAlign val="superscript"/>
        <sz val="10"/>
        <rFont val="Arial"/>
        <family val="2"/>
      </rPr>
      <t>2</t>
    </r>
  </si>
  <si>
    <t>13.001</t>
  </si>
  <si>
    <r>
      <t>Acrylnitril-Butadien-Styrol (ABS)</t>
    </r>
    <r>
      <rPr>
        <sz val="10"/>
        <color indexed="10"/>
        <rFont val="Arial"/>
        <family val="2"/>
      </rPr>
      <t/>
    </r>
  </si>
  <si>
    <t>13.005</t>
  </si>
  <si>
    <t>Gusseisen</t>
  </si>
  <si>
    <t>13.002</t>
  </si>
  <si>
    <t>Polyethylen (PE)</t>
  </si>
  <si>
    <t>13.003</t>
  </si>
  <si>
    <t>Polypropylen (PP)</t>
  </si>
  <si>
    <t>13.004</t>
  </si>
  <si>
    <t>Polyvinylchlorid (PVC)</t>
  </si>
  <si>
    <t>14.005</t>
  </si>
  <si>
    <t>Pulverbeschichten, Aluminium</t>
  </si>
  <si>
    <t>14.006</t>
  </si>
  <si>
    <t>Pulverbeschichten, Stahl</t>
  </si>
  <si>
    <t>14.007</t>
  </si>
  <si>
    <t>Verchromen, Stahl</t>
  </si>
  <si>
    <t>15</t>
  </si>
  <si>
    <t>15.001</t>
  </si>
  <si>
    <t>15.002</t>
  </si>
  <si>
    <t>15.004</t>
  </si>
  <si>
    <t>15.005</t>
  </si>
  <si>
    <t>Polystyrol (PS)</t>
  </si>
  <si>
    <t>Metalle</t>
  </si>
  <si>
    <t>Gummi (EPDM)</t>
  </si>
  <si>
    <t>Holzwerkstoff</t>
  </si>
  <si>
    <t>Baumwollstoff</t>
  </si>
  <si>
    <t>Leder</t>
  </si>
  <si>
    <t>3-Schicht Massivholzplatte</t>
  </si>
  <si>
    <t>MDF-Platte</t>
  </si>
  <si>
    <t>OSB-Platte</t>
  </si>
  <si>
    <t>62</t>
  </si>
  <si>
    <t/>
  </si>
  <si>
    <t>62.002</t>
  </si>
  <si>
    <t>Binnenschiff</t>
  </si>
  <si>
    <t>Transportleistung</t>
  </si>
  <si>
    <t>tkm</t>
  </si>
  <si>
    <t>62.011</t>
  </si>
  <si>
    <t>Flugzeug, Durchschnitt</t>
  </si>
  <si>
    <t>62.003</t>
  </si>
  <si>
    <t>Güterzug</t>
  </si>
  <si>
    <t>62.005</t>
  </si>
  <si>
    <t>Hochseeschiff</t>
  </si>
  <si>
    <t>62.007</t>
  </si>
  <si>
    <t>Kleintransporter (&lt;3.5 t)</t>
  </si>
  <si>
    <t>62.016</t>
  </si>
  <si>
    <t>Lastwagen, Durchschnitt</t>
  </si>
  <si>
    <t>62.017</t>
  </si>
  <si>
    <t>Lastwagen 3.5t-7.5 t</t>
  </si>
  <si>
    <t>62.009</t>
  </si>
  <si>
    <t>Lastwagen 7.5-16 t</t>
  </si>
  <si>
    <t>62.008</t>
  </si>
  <si>
    <t>Lastwagen 16-32 t</t>
  </si>
  <si>
    <t>62.010</t>
  </si>
  <si>
    <t>Lastwagen 32-40 t</t>
  </si>
  <si>
    <r>
      <t xml:space="preserve">TRANSPORTE
</t>
    </r>
    <r>
      <rPr>
        <i/>
        <sz val="10"/>
        <rFont val="Arial"/>
        <family val="2"/>
      </rPr>
      <t>[Bibliographie treeze, v2.2:2016]</t>
    </r>
  </si>
  <si>
    <t>Bezug</t>
  </si>
  <si>
    <t>Treibhausgas-
emissionen</t>
  </si>
  <si>
    <t>nicht erneuerbar</t>
  </si>
  <si>
    <t>Grösse</t>
  </si>
  <si>
    <t>non renouvelable</t>
  </si>
  <si>
    <t>Betrieb</t>
  </si>
  <si>
    <t>Fahrzeug</t>
  </si>
  <si>
    <t>Infrastruktur</t>
  </si>
  <si>
    <t>Exploitation</t>
  </si>
  <si>
    <t>Véhicule</t>
  </si>
  <si>
    <t>Infrastructure</t>
  </si>
  <si>
    <t>Einheit / Unité</t>
  </si>
  <si>
    <t>UBP Herstellung</t>
  </si>
  <si>
    <t>UBP Entsorgung</t>
  </si>
  <si>
    <t>NRE Herstellung</t>
  </si>
  <si>
    <t>NRE Entsorgung</t>
  </si>
  <si>
    <t>GWP Herstellung</t>
  </si>
  <si>
    <t>GWP Entsorgung</t>
  </si>
  <si>
    <t>kWh</t>
  </si>
  <si>
    <t>kg CO2eq</t>
  </si>
  <si>
    <t>Gruppe</t>
  </si>
  <si>
    <t>Material</t>
  </si>
  <si>
    <t>Einh.</t>
  </si>
  <si>
    <t>Menge</t>
  </si>
  <si>
    <t>UBP Total</t>
  </si>
  <si>
    <t>kWh total</t>
  </si>
  <si>
    <t>kg CO2eq total</t>
  </si>
  <si>
    <t>Nettogewicht</t>
  </si>
  <si>
    <t>Zuständig:</t>
  </si>
  <si>
    <t>Transport</t>
  </si>
  <si>
    <t>Treibhausgas-emissionen</t>
  </si>
  <si>
    <t>Umweltbelas-tungspunkte</t>
  </si>
  <si>
    <t>Anzahl</t>
  </si>
  <si>
    <t>Stk.</t>
  </si>
  <si>
    <t>Primärenergie nicht erneuerbar</t>
  </si>
  <si>
    <t>Bestätigung der Richtigkeit der Angaben</t>
  </si>
  <si>
    <t>Produkt 1</t>
  </si>
  <si>
    <t>Deklaration</t>
  </si>
  <si>
    <t>Gesamtergebnis</t>
  </si>
  <si>
    <t>Summe</t>
  </si>
  <si>
    <t>Anpassungen gem. Mail M. Poell vorgenommen</t>
  </si>
  <si>
    <t>Sperrholz/Multiplex</t>
  </si>
  <si>
    <t>Spanplatte roh</t>
  </si>
  <si>
    <t>Spanplatte beschichtet</t>
  </si>
  <si>
    <t>Massivholz</t>
  </si>
  <si>
    <t>Stahl blank</t>
  </si>
  <si>
    <t>Stahl verzinkt</t>
  </si>
  <si>
    <t>Edelstahl blank</t>
  </si>
  <si>
    <t>Stahl verchromt</t>
  </si>
  <si>
    <t>Aluminium-Druckguss blank</t>
  </si>
  <si>
    <t>Aluminium pulverbeschichtet</t>
  </si>
  <si>
    <t>Stahl pulverbeschichtet</t>
  </si>
  <si>
    <t>Polyester glasfaserverstärkt</t>
  </si>
  <si>
    <t>Polyamid glasfaserverstärkt</t>
  </si>
  <si>
    <t>Plexiglas (PMMA)</t>
  </si>
  <si>
    <t>Polyurethan-Schaum (PU)</t>
  </si>
  <si>
    <t>Kunstfaserstoff</t>
  </si>
  <si>
    <t>41</t>
  </si>
  <si>
    <t>41.001</t>
  </si>
  <si>
    <t>Heizöl EL</t>
  </si>
  <si>
    <t>Endenergie</t>
  </si>
  <si>
    <t>41.002</t>
  </si>
  <si>
    <t>Erdgas</t>
  </si>
  <si>
    <t>45.021</t>
  </si>
  <si>
    <r>
      <t xml:space="preserve">ENERGIE
</t>
    </r>
    <r>
      <rPr>
        <i/>
        <sz val="10"/>
        <rFont val="Arial"/>
        <family val="2"/>
      </rPr>
      <t>[Bibliographie treeze, version 2.2:2016]</t>
    </r>
  </si>
  <si>
    <t>Bezug
Réference</t>
  </si>
  <si>
    <r>
      <t xml:space="preserve">UBP'13
</t>
    </r>
    <r>
      <rPr>
        <b/>
        <i/>
        <sz val="9"/>
        <rFont val="Arial"/>
        <family val="2"/>
      </rPr>
      <t>UBP</t>
    </r>
  </si>
  <si>
    <t>erneuerbar am Standort</t>
  </si>
  <si>
    <t>renouvelable du site</t>
  </si>
  <si>
    <t>Einheit
Unité</t>
  </si>
  <si>
    <t>05.023</t>
  </si>
  <si>
    <t>Fassadenplatte, Hochdrucklaminatplatte (HPL), 8.1 mm</t>
  </si>
  <si>
    <t>Komp1</t>
  </si>
  <si>
    <t>Komp2</t>
  </si>
  <si>
    <t>Komp3</t>
  </si>
  <si>
    <t>Komp4</t>
  </si>
  <si>
    <t>FaktStahl</t>
  </si>
  <si>
    <t>FaktAlu</t>
  </si>
  <si>
    <t>Bemerkung</t>
  </si>
  <si>
    <t>FaktChrom</t>
  </si>
  <si>
    <t>Teflon (PTFE)</t>
  </si>
  <si>
    <t>Kunstharzplatte (HPL)</t>
  </si>
  <si>
    <t>Diverse Materialien und Beschichtungen</t>
  </si>
  <si>
    <t>Bezugsmaterial</t>
  </si>
  <si>
    <t>Liste für Auswahl Materialien</t>
  </si>
  <si>
    <t>Zweck</t>
  </si>
  <si>
    <t>Umrechungsfaktor für Beschichtung m2/kg</t>
  </si>
  <si>
    <t>Annahme: 1.5mm Blechdicke, beidseitig beschichtet</t>
  </si>
  <si>
    <t>Annahme: 2mm Blechdicke, beidseitig beschichtet</t>
  </si>
  <si>
    <t>Annahme: 4mm Blechdicke, beidseitig beschichtet</t>
  </si>
  <si>
    <t>kg/Stk</t>
  </si>
  <si>
    <t>Bezeichnungen werden aus Blatt LCA-Daten übernommen</t>
  </si>
  <si>
    <t>ENERGIE</t>
  </si>
  <si>
    <t>pro Stück</t>
  </si>
  <si>
    <t>Adresse:</t>
  </si>
  <si>
    <t>Ort, Datum:</t>
  </si>
  <si>
    <t>Mat. Effizienz:</t>
  </si>
  <si>
    <t>Energie Strom:</t>
  </si>
  <si>
    <t>Energie Wärme:</t>
  </si>
  <si>
    <t>Berechnungen</t>
  </si>
  <si>
    <t>Herstellung Material</t>
  </si>
  <si>
    <t>Entsorgung Material</t>
  </si>
  <si>
    <t>Energie Herstellung</t>
  </si>
  <si>
    <t>DefMatEff</t>
  </si>
  <si>
    <r>
      <t>kg CO2</t>
    </r>
    <r>
      <rPr>
        <b/>
        <vertAlign val="subscript"/>
        <sz val="10"/>
        <rFont val="Trebuchet MS"/>
        <family val="2"/>
      </rPr>
      <t>eq</t>
    </r>
  </si>
  <si>
    <t>Defaultwert für Materialeffizienz</t>
  </si>
  <si>
    <t>DefTransD</t>
  </si>
  <si>
    <t>Defaultwert für Transportdistanz in km</t>
  </si>
  <si>
    <t>AnzAusblenden</t>
  </si>
  <si>
    <t>Angaben zur Produktionseffizienz</t>
  </si>
  <si>
    <t>Strom ENTSO-E</t>
  </si>
  <si>
    <t>1.0</t>
  </si>
  <si>
    <t>0.1</t>
  </si>
  <si>
    <t>0.2</t>
  </si>
  <si>
    <t>Anpassungen gem. Rückmeldung M. Pöll vorgenommen, LCA Daten erg.</t>
  </si>
  <si>
    <t>Achtung: Zellschutz bei Einblenden anpassen!</t>
  </si>
  <si>
    <t>Ausblenden der Zelle "Anzahl" bei der Produktdefinition (wahr/falsch)</t>
  </si>
  <si>
    <t>Annahme der mittl. Transportdistanz im EU-Raum</t>
  </si>
  <si>
    <t>Produktbezeichnung</t>
  </si>
  <si>
    <t>B&amp;H/SLE</t>
  </si>
  <si>
    <t>Biogener Kohlenstoff</t>
  </si>
  <si>
    <t>im Produkt enthalten</t>
  </si>
  <si>
    <t>kg C</t>
  </si>
  <si>
    <t>Aluminiumprofil blank</t>
  </si>
  <si>
    <t>Biogener C auf Basis Teppich Naturfaser berechnet</t>
  </si>
  <si>
    <t>Biogener C auf Basis Kraftpapier berechnet</t>
  </si>
  <si>
    <t>Treibhausgasemissionen</t>
  </si>
  <si>
    <t>Umgerechnet von m2 auf kg (Annahme: Plattendicke 12 mm, 22 kg/m2)</t>
  </si>
  <si>
    <t>Acrylgeb. Mineralwerkstoff (Corian, Starion etc.)</t>
  </si>
  <si>
    <t>Neue KBOB-Daten 2021 eingepflegt, gespeichertes C ergänzt, Corian ergänzt</t>
  </si>
  <si>
    <t>1.1</t>
  </si>
  <si>
    <t>Gesp. Koh-lenstoff</t>
  </si>
  <si>
    <t>Biog. Kohlenstoff</t>
  </si>
  <si>
    <r>
      <t xml:space="preserve">BAUMATERIALIEN
</t>
    </r>
    <r>
      <rPr>
        <i/>
        <sz val="10"/>
        <rFont val="Arial"/>
        <family val="2"/>
      </rPr>
      <t>[Bibliographie treeze, version 2.2:2021]</t>
    </r>
  </si>
  <si>
    <t>UBP'21</t>
  </si>
  <si>
    <t>KBOB / eco-bau / IPB  2009/1:2022, V3</t>
  </si>
  <si>
    <t>Daten für Komposite</t>
  </si>
  <si>
    <t>1.2</t>
  </si>
  <si>
    <t>Neue KBOB-Daten 2022v3 und ecoinvent 3.8 eingepflegt, Defaultwerte Material- und Energieeffizienz angepasst</t>
  </si>
  <si>
    <t>45.006</t>
  </si>
  <si>
    <t>Heizkraftwerk Holz</t>
  </si>
  <si>
    <t>45.008</t>
  </si>
  <si>
    <t>Blockheizkraftwerk Gas</t>
  </si>
  <si>
    <t>45.009</t>
  </si>
  <si>
    <t>Blockheizkraftwerk Biogas</t>
  </si>
  <si>
    <t>45.011</t>
  </si>
  <si>
    <t>Photovoltaik</t>
  </si>
  <si>
    <t>45.015</t>
  </si>
  <si>
    <t>Windkraft</t>
  </si>
  <si>
    <t>45.016</t>
  </si>
  <si>
    <t>Wasserkraft</t>
  </si>
  <si>
    <t>45.020</t>
  </si>
  <si>
    <t>CH-Verbrauchermix</t>
  </si>
  <si>
    <t>45.022</t>
  </si>
  <si>
    <t>Mix Stromprodukte aus erneuerbaren Energien</t>
  </si>
  <si>
    <t>Allgemeine Angaben</t>
  </si>
  <si>
    <t>Angaben zum Energiemix</t>
  </si>
  <si>
    <t>Energie Wärme 1:</t>
  </si>
  <si>
    <t>Energie Strom 1:</t>
  </si>
  <si>
    <t>Energie Wärme 2:</t>
  </si>
  <si>
    <t>Energie Wärme 3:</t>
  </si>
  <si>
    <t>Energie Strom 2:</t>
  </si>
  <si>
    <t>Energie Strom 3:</t>
  </si>
  <si>
    <t>Primärenergie erneuerbar</t>
  </si>
  <si>
    <t>1.3</t>
  </si>
  <si>
    <t>Auswahl Strom- &amp; Energiemix, neues Layout, PE ern. ergänzt, Biogenes C auf Nettomenge bezogen</t>
  </si>
  <si>
    <r>
      <t>kg CO</t>
    </r>
    <r>
      <rPr>
        <b/>
        <vertAlign val="subscript"/>
        <sz val="9"/>
        <rFont val="Trebuchet MS"/>
        <family val="2"/>
      </rPr>
      <t>2</t>
    </r>
    <r>
      <rPr>
        <b/>
        <sz val="9"/>
        <rFont val="Trebuchet MS"/>
        <family val="2"/>
      </rPr>
      <t>eq</t>
    </r>
  </si>
  <si>
    <t>41.003</t>
  </si>
  <si>
    <t>Propan/Butan</t>
  </si>
  <si>
    <t>41.004</t>
  </si>
  <si>
    <t>Kohle Koks</t>
  </si>
  <si>
    <t>41.005</t>
  </si>
  <si>
    <t>Kohle Brikett</t>
  </si>
  <si>
    <t>41.006</t>
  </si>
  <si>
    <t>Stückholz</t>
  </si>
  <si>
    <t>41.010</t>
  </si>
  <si>
    <t>Stückholz mit Partikelfilter</t>
  </si>
  <si>
    <t>41.007</t>
  </si>
  <si>
    <t>Holzschnitzel</t>
  </si>
  <si>
    <t>41.011</t>
  </si>
  <si>
    <t>Holzschnitzel mit Partikelfilter</t>
  </si>
  <si>
    <t>41.008</t>
  </si>
  <si>
    <t>Pellets</t>
  </si>
  <si>
    <t>41.012</t>
  </si>
  <si>
    <t>Pellets mit Partikelfilter</t>
  </si>
  <si>
    <t>41.009</t>
  </si>
  <si>
    <t>Biogas</t>
  </si>
  <si>
    <t>Anteil:</t>
  </si>
  <si>
    <t>Anteil</t>
  </si>
  <si>
    <t>Energieträger</t>
  </si>
  <si>
    <t>Deklarierte Anteile OK</t>
  </si>
  <si>
    <t>Deklariertes Gesamtgewicht OK</t>
  </si>
  <si>
    <t>Übernahme Blatt Start</t>
  </si>
  <si>
    <t>%</t>
  </si>
  <si>
    <t>kWh/kg</t>
  </si>
  <si>
    <t>Umweltbelas-
tungspunkte</t>
  </si>
  <si>
    <t>Primärenergie
 nicht erneuerbar</t>
  </si>
  <si>
    <t>Primärenergie
erneuerbar</t>
  </si>
  <si>
    <t>RE Herstellung</t>
  </si>
  <si>
    <t>RE Entsorgung</t>
  </si>
  <si>
    <t>Angaben zum Strommix</t>
  </si>
  <si>
    <t>Angaben zum Wärmemix</t>
  </si>
  <si>
    <t>DeklAnteilNotOK</t>
  </si>
  <si>
    <t>Fehler: Summe der Anteile &lt;&gt;100%</t>
  </si>
  <si>
    <t>GWOMatEff</t>
  </si>
  <si>
    <t>GWUMatEff</t>
  </si>
  <si>
    <t>Oberer Grenzwert, ab wann der Defaultwert für Materialeffizienz eingesetzt wird</t>
  </si>
  <si>
    <t>Unterer Grenzwert, ab wann der Defaultwert für Materialeffizienz eingesetzt wird</t>
  </si>
  <si>
    <t>Gemäss separatem Zusammenzug Umweltberichte</t>
  </si>
  <si>
    <t>Text, der in Feldern Eingabeprüfung Anteile erscheint</t>
  </si>
  <si>
    <t>Text, der in Feldern Eingabeprüfung Gewicht erscheint</t>
  </si>
  <si>
    <t>DeklAnteilOK</t>
  </si>
  <si>
    <t>DeklGewichtOK</t>
  </si>
  <si>
    <t>DeklMatEffNotOK</t>
  </si>
  <si>
    <t>DeklEnEinsatzNotOK</t>
  </si>
  <si>
    <t>Eingabefeld leer oder deklarierte Materialeffizienz unplausibel. Defaultwerte werden verwendet.</t>
  </si>
  <si>
    <t>Eingabefeld leer oder deklarierter Energieeinsatz unplausibel. Defaultwerte werden verwendet.</t>
  </si>
  <si>
    <t>Materialeffizienz:</t>
  </si>
  <si>
    <t>Produktionseffizienz</t>
  </si>
  <si>
    <t>Strom</t>
  </si>
  <si>
    <t>Wärme</t>
  </si>
  <si>
    <t>Ergebnisse pro Produkt</t>
  </si>
  <si>
    <t>Verw. Wert:</t>
  </si>
  <si>
    <t>GWOEnStrom</t>
  </si>
  <si>
    <t>GWUEnStrom</t>
  </si>
  <si>
    <t>GWOEnWaerme</t>
  </si>
  <si>
    <t>GWUEnWaerme</t>
  </si>
  <si>
    <t>Oberer Grenzwert, ab wann der Defaultwert für Strom eingesetzt wird</t>
  </si>
  <si>
    <t>Unterer Grenzwert, ab wann der Defaultwert für Strom eingesetzt wird</t>
  </si>
  <si>
    <t>Oberer Grenzwert, ab wann der Defaultwert für Wärme eingesetzt wird</t>
  </si>
  <si>
    <t>Unterer Grenzwert, ab wann der Defaultwert für Wärme eingesetzt wird</t>
  </si>
  <si>
    <t>DefEnStrom</t>
  </si>
  <si>
    <t>Defaultwert Strommix ENTSO-E-Mix kWh/kg</t>
  </si>
  <si>
    <t>DefEnWaerme</t>
  </si>
  <si>
    <t>Defaultwert Wärmemix kWh/kg</t>
  </si>
  <si>
    <t>Energiemix Strom:</t>
  </si>
  <si>
    <t>RE</t>
  </si>
  <si>
    <t>NRE</t>
  </si>
  <si>
    <t>THGE</t>
  </si>
  <si>
    <t>En.Mix Strom aus Start</t>
  </si>
  <si>
    <t>En. Mix Wärme aus Start</t>
  </si>
  <si>
    <t>EnergieS/kg</t>
  </si>
  <si>
    <t>EnergieW/kg</t>
  </si>
  <si>
    <t>Berechnung des Default-Energiemix' Strom</t>
  </si>
  <si>
    <t>Berechnung des Default-Energiemix' Wärme</t>
  </si>
  <si>
    <t>PE ern.</t>
  </si>
  <si>
    <t>PE n.e.</t>
  </si>
  <si>
    <t>Dieser Energiemix wird eingesetzt, wenn der Anwender keinen eigenen Mix definiert.</t>
  </si>
  <si>
    <t>Text, der in Feldern Eingabeprüfung Materialeffizienz erscheint</t>
  </si>
  <si>
    <t>Text, der in Feldern Eingabeprüfung Energieeinsatz erscheint</t>
  </si>
  <si>
    <t>Diese Werte werden übernommen.</t>
  </si>
  <si>
    <t>Auswahl- u. Eingabefeldfeld, Berechnung erfolgt automatisch.</t>
  </si>
  <si>
    <t>DeklEnMixSnotOK</t>
  </si>
  <si>
    <t>Deklarierter Energiemix Strom unplausibel. Defaultwerte werden verwendet.</t>
  </si>
  <si>
    <t>DeklEnMixWnotOK</t>
  </si>
  <si>
    <t>Deklarierter Energiemix Wärme unplausibel. Defaultwerte werden verwendet.</t>
  </si>
  <si>
    <t>Text, der in Feldern Eingabeprüfung Energiemix Strom erscheint</t>
  </si>
  <si>
    <t>Text, der in Feldern Eingabeprüfung Energiemix Wärme erscheint</t>
  </si>
  <si>
    <t>DeklEnMixSOK</t>
  </si>
  <si>
    <t>DeklEnMixWOK</t>
  </si>
  <si>
    <t>Deklarierter Energiemix Strom wird verwendet.</t>
  </si>
  <si>
    <t>Deklarierter Energiemix Wärme wird verwendet.</t>
  </si>
  <si>
    <t>Energiemix Wärme:</t>
  </si>
  <si>
    <t>Verw. Werte Strom</t>
  </si>
  <si>
    <t>Verw. Werte Wärme</t>
  </si>
  <si>
    <t>Defaultwerte verwenden</t>
  </si>
  <si>
    <t>Transporte Produktions-</t>
  </si>
  <si>
    <t>standort bis Kunde</t>
  </si>
  <si>
    <t>Berechnung des Default-Transportmix'</t>
  </si>
  <si>
    <t>Dieser Transportmix wird eingesetzt, wenn der Anwender keinen eigenen Mix definiert.</t>
  </si>
  <si>
    <t>Einheit</t>
  </si>
  <si>
    <t>km</t>
  </si>
  <si>
    <t>String</t>
  </si>
  <si>
    <t>Boolean</t>
  </si>
  <si>
    <t>Angaben zur Produktions-</t>
  </si>
  <si>
    <t>effizienz</t>
  </si>
  <si>
    <t>Passwort</t>
  </si>
  <si>
    <t>BaHo-01</t>
  </si>
  <si>
    <t>Distanz</t>
  </si>
  <si>
    <t>Transportmittel</t>
  </si>
  <si>
    <t>Zusammensetzung</t>
  </si>
  <si>
    <t>Material-Effizienz:</t>
  </si>
  <si>
    <t>UVEK1</t>
  </si>
  <si>
    <t>UVEK2</t>
  </si>
  <si>
    <t>UVEK3</t>
  </si>
  <si>
    <t>UVEK4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</si>
</sst>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3" formatCode="_ * #,##0.00_ ;_ * \-#,##0.00_ ;_ * &quot;-&quot;??_ ;_ @_ "/>
    <numFmt numFmtId="164" formatCode="0.0%"/>
    <numFmt numFmtId="165" formatCode="0.0"/>
    <numFmt numFmtId="166" formatCode="#,##0&quot; CHF&quot;;[Red]\-#,##0&quot; CHF&quot;"/>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0.0&quot; dt&quot;;[Red]#,##0.0&quot; dt&quot;"/>
    <numFmt numFmtId="172" formatCode="0.00E+0;[=0]&quot;-&quot;;0.00E+0"/>
    <numFmt numFmtId="173" formatCode="#,##0&quot; kg&quot;;[Red]#,##0&quot; kg&quot;"/>
    <numFmt numFmtId="174" formatCode="#,##0&quot; km&quot;;[Red]#,##0&quot; km&quot;"/>
    <numFmt numFmtId="175" formatCode="#,##0&quot; kWh&quot;;[Red]#,##0&quot; kWh&quot;"/>
    <numFmt numFmtId="176" formatCode="#,##0&quot; Liter&quot;;[Red]#,##0&quot; Liter&quot;"/>
    <numFmt numFmtId="177" formatCode="#,##0&quot; m2&quot;;[Red]#,##0&quot; m2&quot;"/>
    <numFmt numFmtId="178" formatCode="#,##0&quot; m2a&quot;;[Red]#,##0&quot; m2a&quot;"/>
    <numFmt numFmtId="179" formatCode="#,##0&quot; m3&quot;;[Red]#,##0&quot; m3&quot;"/>
    <numFmt numFmtId="180" formatCode="0.00E+0;[=0]&quot;0&quot;;0.00E+0"/>
    <numFmt numFmtId="181" formatCode="0.00%;[=0]&quot;0&quot;;General"/>
    <numFmt numFmtId="182" formatCode="0.00E+0;[=0]&quot;0&quot;;General"/>
    <numFmt numFmtId="183" formatCode="0.0%;[=0]&quot;0%&quot;;0.0%"/>
    <numFmt numFmtId="184" formatCode="#,##0.0&quot; Sm3&quot;;[Red]#,##0.0&quot; Sm3&quot;"/>
    <numFmt numFmtId="185" formatCode="#,##0.0&quot; t&quot;;[Red]#,##0.0&quot; t&quot;"/>
    <numFmt numFmtId="186" formatCode="[=0]&quot;&quot;;General"/>
    <numFmt numFmtId="187" formatCode="#,##0&quot; tkm&quot;;[Red]#,##0&quot; tkm&quot;"/>
    <numFmt numFmtId="188" formatCode="#,##0.0&quot; ZKh&quot;;[Red]#,##0.0&quot; ZKh&quot;"/>
    <numFmt numFmtId="189" formatCode="_ * #,##0_ ;_ * \-#,##0_ ;_ * &quot;-&quot;??_ ;_ @_ "/>
    <numFmt numFmtId="190" formatCode="0.000"/>
    <numFmt numFmtId="191" formatCode="#,##0.0"/>
    <numFmt numFmtId="192" formatCode="00"/>
    <numFmt numFmtId="193" formatCode="00.000"/>
    <numFmt numFmtId="194" formatCode="0.0000"/>
    <numFmt numFmtId="195" formatCode="0.00000"/>
    <numFmt numFmtId="196" formatCode="&quot;$&quot;#,##0"/>
    <numFmt numFmtId="197" formatCode="0.000000"/>
    <numFmt numFmtId="198" formatCode="0.00&quot; kWh/kg&quot;"/>
    <numFmt numFmtId="199" formatCode="#,##0.000"/>
  </numFmts>
  <fonts count="74">
    <font>
      <sz val="10"/>
      <name val="Arial"/>
    </font>
    <font>
      <sz val="11"/>
      <color theme="1"/>
      <name val="Calibri"/>
      <family val="2"/>
      <scheme val="minor"/>
    </font>
    <font>
      <sz val="10"/>
      <name val="Arial"/>
      <family val="2"/>
    </font>
    <font>
      <sz val="8"/>
      <name val="Arial"/>
      <family val="2"/>
    </font>
    <font>
      <i/>
      <sz val="10"/>
      <name val="Arial"/>
      <family val="2"/>
    </font>
    <font>
      <u/>
      <sz val="10"/>
      <color indexed="12"/>
      <name val="Arial"/>
      <family val="2"/>
    </font>
    <font>
      <sz val="10"/>
      <name val="Trebuchet MS"/>
      <family val="2"/>
    </font>
    <font>
      <sz val="8"/>
      <name val="Trebuchet MS"/>
      <family val="2"/>
    </font>
    <font>
      <b/>
      <sz val="10"/>
      <name val="Trebuchet MS"/>
      <family val="2"/>
    </font>
    <font>
      <b/>
      <sz val="14"/>
      <name val="Trebuchet MS"/>
      <family val="2"/>
    </font>
    <font>
      <sz val="10"/>
      <color indexed="23"/>
      <name val="Arial"/>
      <family val="2"/>
    </font>
    <font>
      <b/>
      <sz val="10"/>
      <color indexed="23"/>
      <name val="Arial"/>
      <family val="2"/>
    </font>
    <font>
      <b/>
      <i/>
      <sz val="10"/>
      <name val="Trebuchet MS"/>
      <family val="2"/>
    </font>
    <font>
      <b/>
      <u/>
      <sz val="10"/>
      <color indexed="12"/>
      <name val="Arial"/>
      <family val="2"/>
    </font>
    <font>
      <b/>
      <sz val="16"/>
      <color indexed="10"/>
      <name val="Trebuchet MS"/>
      <family val="2"/>
    </font>
    <font>
      <sz val="9"/>
      <name val="Times New Roman"/>
      <family val="1"/>
    </font>
    <font>
      <sz val="9"/>
      <name val="Helvetica"/>
      <family val="2"/>
    </font>
    <font>
      <b/>
      <sz val="9"/>
      <name val="Times New Roman"/>
      <family val="1"/>
    </font>
    <font>
      <sz val="10"/>
      <color indexed="8"/>
      <name val="MS Sans Serif"/>
      <family val="2"/>
    </font>
    <font>
      <sz val="7"/>
      <name val="Helv"/>
      <family val="2"/>
    </font>
    <font>
      <sz val="9"/>
      <name val="Helv"/>
    </font>
    <font>
      <sz val="9"/>
      <name val="Helv"/>
      <family val="2"/>
    </font>
    <font>
      <sz val="9"/>
      <name val="Arial"/>
      <family val="2"/>
    </font>
    <font>
      <b/>
      <sz val="12"/>
      <name val="Times New Roman"/>
      <family val="1"/>
    </font>
    <font>
      <sz val="10"/>
      <name val="Helv"/>
    </font>
    <font>
      <sz val="10"/>
      <name val="Geneva"/>
    </font>
    <font>
      <sz val="8"/>
      <name val="Helvetica"/>
      <family val="2"/>
    </font>
    <font>
      <b/>
      <sz val="10"/>
      <name val="Arial"/>
      <family val="2"/>
    </font>
    <font>
      <b/>
      <sz val="14"/>
      <name val="Arial"/>
      <family val="2"/>
    </font>
    <font>
      <b/>
      <sz val="9"/>
      <name val="Arial"/>
      <family val="2"/>
    </font>
    <font>
      <b/>
      <i/>
      <sz val="9"/>
      <name val="Arial"/>
      <family val="2"/>
    </font>
    <font>
      <b/>
      <sz val="11"/>
      <name val="Arial"/>
      <family val="2"/>
    </font>
    <font>
      <b/>
      <sz val="8"/>
      <name val="Arial"/>
      <family val="2"/>
    </font>
    <font>
      <b/>
      <i/>
      <sz val="8"/>
      <name val="Arial"/>
      <family val="2"/>
    </font>
    <font>
      <i/>
      <sz val="8"/>
      <name val="Arial"/>
      <family val="2"/>
    </font>
    <font>
      <vertAlign val="subscript"/>
      <sz val="8"/>
      <name val="Arial"/>
      <family val="2"/>
    </font>
    <font>
      <b/>
      <i/>
      <sz val="10"/>
      <name val="Arial"/>
      <family val="2"/>
    </font>
    <font>
      <b/>
      <vertAlign val="superscript"/>
      <sz val="10"/>
      <name val="Arial"/>
      <family val="2"/>
    </font>
    <font>
      <sz val="8"/>
      <name val="Verdana"/>
      <family val="2"/>
    </font>
    <font>
      <b/>
      <sz val="8"/>
      <color indexed="9"/>
      <name val="Tahoma"/>
      <family val="2"/>
    </font>
    <font>
      <b/>
      <sz val="8"/>
      <color indexed="8"/>
      <name val="Tahoma"/>
      <family val="2"/>
    </font>
    <font>
      <sz val="10"/>
      <color indexed="8"/>
      <name val="Arial"/>
      <family val="2"/>
    </font>
    <font>
      <b/>
      <sz val="16"/>
      <color indexed="9"/>
      <name val="Tahoma"/>
      <family val="2"/>
    </font>
    <font>
      <sz val="16"/>
      <name val="Arial"/>
      <family val="2"/>
    </font>
    <font>
      <b/>
      <sz val="16"/>
      <name val="Arial"/>
      <family val="2"/>
    </font>
    <font>
      <sz val="12"/>
      <name val="Arial"/>
      <family val="2"/>
    </font>
    <font>
      <b/>
      <sz val="12"/>
      <name val="Arial"/>
      <family val="2"/>
    </font>
    <font>
      <sz val="10"/>
      <color indexed="22"/>
      <name val="Trebuchet MS"/>
      <family val="2"/>
    </font>
    <font>
      <sz val="10"/>
      <name val="Roboto"/>
    </font>
    <font>
      <b/>
      <sz val="10"/>
      <name val="Roboto"/>
    </font>
    <font>
      <b/>
      <sz val="12"/>
      <name val="Roboto"/>
    </font>
    <font>
      <sz val="10"/>
      <color rgb="FFFF0000"/>
      <name val="Arial"/>
      <family val="2"/>
    </font>
    <font>
      <vertAlign val="superscript"/>
      <sz val="10"/>
      <name val="Arial"/>
      <family val="2"/>
    </font>
    <font>
      <sz val="10"/>
      <color indexed="10"/>
      <name val="Arial"/>
      <family val="2"/>
    </font>
    <font>
      <b/>
      <sz val="8"/>
      <name val="Trebuchet MS"/>
      <family val="2"/>
    </font>
    <font>
      <sz val="8"/>
      <color theme="5"/>
      <name val="Trebuchet MS"/>
      <family val="2"/>
    </font>
    <font>
      <b/>
      <sz val="14"/>
      <color theme="0" tint="-0.499984740745262"/>
      <name val="Trebuchet MS"/>
      <family val="2"/>
    </font>
    <font>
      <b/>
      <sz val="12"/>
      <name val="Trebuchet MS"/>
      <family val="2"/>
    </font>
    <font>
      <sz val="10"/>
      <color theme="4" tint="-0.249977111117893"/>
      <name val="Arial"/>
      <family val="2"/>
    </font>
    <font>
      <b/>
      <sz val="10"/>
      <color theme="4" tint="-0.249977111117893"/>
      <name val="Arial"/>
      <family val="2"/>
    </font>
    <font>
      <sz val="10"/>
      <color rgb="FF009900"/>
      <name val="Arial"/>
      <family val="2"/>
    </font>
    <font>
      <b/>
      <sz val="10"/>
      <color rgb="FF009900"/>
      <name val="Arial"/>
      <family val="2"/>
    </font>
    <font>
      <sz val="10"/>
      <color theme="0" tint="-9.9978637043366805E-2"/>
      <name val="Trebuchet MS"/>
      <family val="2"/>
    </font>
    <font>
      <b/>
      <vertAlign val="subscript"/>
      <sz val="10"/>
      <name val="Trebuchet MS"/>
      <family val="2"/>
    </font>
    <font>
      <sz val="12"/>
      <color indexed="22"/>
      <name val="Trebuchet MS"/>
      <family val="2"/>
    </font>
    <font>
      <b/>
      <sz val="11"/>
      <name val="Trebuchet MS"/>
      <family val="2"/>
    </font>
    <font>
      <sz val="8"/>
      <name val="Arial"/>
      <family val="2"/>
    </font>
    <font>
      <sz val="8"/>
      <color rgb="FF009900"/>
      <name val="Trebuchet MS"/>
      <family val="2"/>
    </font>
    <font>
      <b/>
      <sz val="10"/>
      <color rgb="FFFF0000"/>
      <name val="Arial"/>
      <family val="2"/>
    </font>
    <font>
      <b/>
      <sz val="9"/>
      <name val="Trebuchet MS"/>
      <family val="2"/>
    </font>
    <font>
      <b/>
      <vertAlign val="subscript"/>
      <sz val="9"/>
      <name val="Trebuchet MS"/>
      <family val="2"/>
    </font>
    <font>
      <sz val="9"/>
      <name val="Trebuchet MS"/>
      <family val="2"/>
    </font>
    <font>
      <b/>
      <sz val="8"/>
      <color theme="5"/>
      <name val="Trebuchet MS"/>
      <family val="2"/>
    </font>
    <font>
      <sz val="8"/>
      <color rgb="FF000000"/>
      <name val="Segoe UI"/>
      <family val="2"/>
    </font>
  </fonts>
  <fills count="24">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5"/>
        <bgColor indexed="64"/>
      </patternFill>
    </fill>
    <fill>
      <patternFill patternType="solid">
        <fgColor theme="0"/>
        <bgColor indexed="64"/>
      </patternFill>
    </fill>
    <fill>
      <patternFill patternType="solid">
        <fgColor rgb="FFFFFFFF"/>
        <bgColor indexed="64"/>
      </patternFill>
    </fill>
    <fill>
      <patternFill patternType="solid">
        <fgColor theme="0" tint="-9.9978637043366805E-2"/>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indexed="55"/>
        <bgColor indexed="64"/>
      </patternFill>
    </fill>
    <fill>
      <patternFill patternType="solid">
        <fgColor indexed="8"/>
        <bgColor indexed="64"/>
      </patternFill>
    </fill>
    <fill>
      <patternFill patternType="solid">
        <fgColor indexed="22"/>
        <bgColor indexed="64"/>
      </patternFill>
    </fill>
    <fill>
      <patternFill patternType="solid">
        <fgColor theme="0" tint="-0.249977111117893"/>
        <bgColor indexed="64"/>
      </patternFill>
    </fill>
    <fill>
      <patternFill patternType="solid">
        <fgColor rgb="FFCCFFCC"/>
        <bgColor indexed="64"/>
      </patternFill>
    </fill>
    <fill>
      <patternFill patternType="solid">
        <fgColor rgb="FFF2F6F8"/>
        <bgColor indexed="64"/>
      </patternFill>
    </fill>
    <fill>
      <patternFill patternType="solid">
        <fgColor rgb="FF73C375"/>
        <bgColor indexed="64"/>
      </patternFill>
    </fill>
    <fill>
      <patternFill patternType="solid">
        <fgColor rgb="FFBCE2BD"/>
        <bgColor indexed="64"/>
      </patternFill>
    </fill>
    <fill>
      <patternFill patternType="solid">
        <fgColor theme="9" tint="0.59999389629810485"/>
        <bgColor indexed="64"/>
      </patternFill>
    </fill>
    <fill>
      <patternFill patternType="solid">
        <fgColor theme="1" tint="0.89999084444715716"/>
        <bgColor indexed="64"/>
      </patternFill>
    </fill>
  </fills>
  <borders count="72">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bottom/>
      <diagonal/>
    </border>
    <border>
      <left style="thin">
        <color indexed="55"/>
      </left>
      <right/>
      <top style="medium">
        <color theme="0" tint="-0.499984740745262"/>
      </top>
      <bottom/>
      <diagonal/>
    </border>
    <border>
      <left/>
      <right/>
      <top style="medium">
        <color theme="0" tint="-0.499984740745262"/>
      </top>
      <bottom/>
      <diagonal/>
    </border>
    <border>
      <left style="thin">
        <color theme="0" tint="-0.499984740745262"/>
      </left>
      <right/>
      <top/>
      <bottom/>
      <diagonal/>
    </border>
    <border>
      <left style="thin">
        <color indexed="55"/>
      </left>
      <right/>
      <top/>
      <bottom style="thin">
        <color indexed="55"/>
      </bottom>
      <diagonal/>
    </border>
    <border>
      <left/>
      <right/>
      <top/>
      <bottom style="thin">
        <color indexed="55"/>
      </bottom>
      <diagonal/>
    </border>
    <border>
      <left/>
      <right style="thin">
        <color theme="0" tint="-0.499984740745262"/>
      </right>
      <top/>
      <bottom style="thin">
        <color indexed="55"/>
      </bottom>
      <diagonal/>
    </border>
    <border>
      <left style="thin">
        <color theme="0" tint="-0.499984740745262"/>
      </left>
      <right style="thin">
        <color indexed="55"/>
      </right>
      <top/>
      <bottom/>
      <diagonal/>
    </border>
    <border>
      <left/>
      <right style="thin">
        <color theme="0" tint="-0.499984740745262"/>
      </right>
      <top/>
      <bottom/>
      <diagonal/>
    </border>
    <border>
      <left/>
      <right style="thin">
        <color indexed="55"/>
      </right>
      <top/>
      <bottom/>
      <diagonal/>
    </border>
    <border>
      <left style="thin">
        <color indexed="55"/>
      </left>
      <right style="thin">
        <color indexed="55"/>
      </right>
      <top/>
      <bottom/>
      <diagonal/>
    </border>
    <border>
      <left style="thin">
        <color theme="0" tint="-0.499984740745262"/>
      </left>
      <right style="thin">
        <color theme="0" tint="-0.499984740745262"/>
      </right>
      <top style="thin">
        <color theme="0" tint="-0.499984740745262"/>
      </top>
      <bottom/>
      <diagonal/>
    </border>
    <border>
      <left style="thin">
        <color indexed="55"/>
      </left>
      <right style="thin">
        <color indexed="55"/>
      </right>
      <top style="thin">
        <color indexed="55"/>
      </top>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theme="0" tint="-0.499984740745262"/>
      </left>
      <right style="thin">
        <color theme="0" tint="-0.499984740745262"/>
      </right>
      <top/>
      <bottom/>
      <diagonal/>
    </border>
    <border>
      <left style="thin">
        <color indexed="55"/>
      </left>
      <right/>
      <top/>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
      <left style="thin">
        <color theme="0" tint="-0.499984740745262"/>
      </left>
      <right style="thin">
        <color theme="0" tint="-0.499984740745262"/>
      </right>
      <top/>
      <bottom style="thin">
        <color indexed="55"/>
      </bottom>
      <diagonal/>
    </border>
    <border>
      <left/>
      <right/>
      <top style="thin">
        <color indexed="64"/>
      </top>
      <bottom style="medium">
        <color indexed="64"/>
      </bottom>
      <diagonal/>
    </border>
    <border>
      <left/>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style="thin">
        <color theme="0" tint="-0.499984740745262"/>
      </left>
      <right style="thin">
        <color indexed="55"/>
      </right>
      <top style="thin">
        <color theme="0" tint="-0.499984740745262"/>
      </top>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style="thin">
        <color indexed="55"/>
      </top>
      <bottom style="thin">
        <color indexed="55"/>
      </bottom>
      <diagonal/>
    </border>
    <border>
      <left style="thin">
        <color indexed="55"/>
      </left>
      <right style="thin">
        <color indexed="55"/>
      </right>
      <top/>
      <bottom/>
      <diagonal/>
    </border>
    <border>
      <left style="thin">
        <color indexed="55"/>
      </left>
      <right style="thin">
        <color theme="0" tint="-0.499984740745262"/>
      </right>
      <top/>
      <bottom/>
      <diagonal/>
    </border>
    <border>
      <left style="thin">
        <color theme="0" tint="-0.499984740745262"/>
      </left>
      <right/>
      <top style="thin">
        <color indexed="55"/>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9.9948118533890809E-2"/>
      </left>
      <right style="thin">
        <color theme="0" tint="-9.9948118533890809E-2"/>
      </right>
      <top style="thin">
        <color theme="0" tint="-9.9948118533890809E-2"/>
      </top>
      <bottom style="thin">
        <color theme="0" tint="-9.9948118533890809E-2"/>
      </bottom>
      <diagonal/>
    </border>
    <border>
      <left style="thin">
        <color theme="0" tint="-9.9948118533890809E-2"/>
      </left>
      <right/>
      <top style="thin">
        <color theme="0" tint="-9.9948118533890809E-2"/>
      </top>
      <bottom style="thin">
        <color theme="0" tint="-9.9948118533890809E-2"/>
      </bottom>
      <diagonal/>
    </border>
    <border>
      <left/>
      <right style="thin">
        <color theme="0" tint="-9.9948118533890809E-2"/>
      </right>
      <top style="thin">
        <color theme="0" tint="-9.9948118533890809E-2"/>
      </top>
      <bottom style="thin">
        <color theme="0" tint="-9.9948118533890809E-2"/>
      </bottom>
      <diagonal/>
    </border>
    <border>
      <left/>
      <right/>
      <top/>
      <bottom style="thin">
        <color rgb="FFDBE7D1"/>
      </bottom>
      <diagonal/>
    </border>
    <border>
      <left/>
      <right/>
      <top style="thin">
        <color rgb="FFDBE7D1"/>
      </top>
      <bottom style="thin">
        <color rgb="FFDBE7D1"/>
      </bottom>
      <diagonal/>
    </border>
    <border>
      <left/>
      <right/>
      <top style="thin">
        <color rgb="FFDBE7D1"/>
      </top>
      <bottom/>
      <diagonal/>
    </border>
    <border>
      <left/>
      <right/>
      <top/>
      <bottom style="medium">
        <color rgb="FFFFFFFF"/>
      </bottom>
      <diagonal/>
    </border>
    <border>
      <left style="medium">
        <color rgb="FFFFFFFF"/>
      </left>
      <right/>
      <top style="medium">
        <color rgb="FFFFFFFF"/>
      </top>
      <bottom/>
      <diagonal/>
    </border>
    <border>
      <left style="medium">
        <color rgb="FFFFFFFF"/>
      </left>
      <right/>
      <top/>
      <bottom/>
      <diagonal/>
    </border>
    <border>
      <left style="medium">
        <color rgb="FFFFFFFF"/>
      </left>
      <right/>
      <top/>
      <bottom style="medium">
        <color rgb="FFFFFFFF"/>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medium">
        <color rgb="FFFFFFFF"/>
      </top>
      <bottom/>
      <diagonal/>
    </border>
    <border>
      <left/>
      <right style="medium">
        <color rgb="FFFFFFFF"/>
      </right>
      <top/>
      <bottom style="medium">
        <color rgb="FFFFFFFF"/>
      </bottom>
      <diagonal/>
    </border>
    <border>
      <left/>
      <right style="medium">
        <color rgb="FFFFFFFF"/>
      </right>
      <top style="medium">
        <color rgb="FFFFFFFF"/>
      </top>
      <bottom/>
      <diagonal/>
    </border>
    <border>
      <left/>
      <right style="medium">
        <color rgb="FFFFFFFF"/>
      </right>
      <top/>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medium">
        <color rgb="FFFFFFFF"/>
      </top>
      <bottom style="medium">
        <color rgb="FFFFFFFF"/>
      </bottom>
      <diagonal/>
    </border>
    <border>
      <left/>
      <right style="medium">
        <color theme="0" tint="-9.9948118533890809E-2"/>
      </right>
      <top/>
      <bottom/>
      <diagonal/>
    </border>
    <border>
      <left style="medium">
        <color rgb="FFFFFFFF"/>
      </left>
      <right/>
      <top style="medium">
        <color rgb="FFFFFFFF"/>
      </top>
      <bottom style="medium">
        <color rgb="FFFFFFFF"/>
      </bottom>
      <diagonal/>
    </border>
    <border>
      <left/>
      <right/>
      <top/>
      <bottom style="thin">
        <color indexed="64"/>
      </bottom>
      <diagonal/>
    </border>
    <border>
      <left/>
      <right/>
      <top style="thin">
        <color indexed="64"/>
      </top>
      <bottom style="thin">
        <color indexed="64"/>
      </bottom>
      <diagonal/>
    </border>
    <border>
      <left style="medium">
        <color rgb="FFFFFFFF"/>
      </left>
      <right style="medium">
        <color rgb="FFFFFFFF"/>
      </right>
      <top/>
      <bottom style="medium">
        <color rgb="FFFFFFFF"/>
      </bottom>
      <diagonal/>
    </border>
  </borders>
  <cellStyleXfs count="73">
    <xf numFmtId="0" fontId="0" fillId="0" borderId="0"/>
    <xf numFmtId="43" fontId="2" fillId="0" borderId="0" applyFont="0" applyFill="0" applyBorder="0" applyAlignment="0" applyProtection="0"/>
    <xf numFmtId="0" fontId="5" fillId="0" borderId="0" applyNumberFormat="0" applyFill="0" applyBorder="0" applyAlignment="0" applyProtection="0">
      <alignment vertical="top"/>
      <protection locked="0"/>
    </xf>
    <xf numFmtId="9" fontId="2" fillId="0" borderId="0" applyFont="0" applyFill="0" applyBorder="0" applyAlignment="0" applyProtection="0"/>
    <xf numFmtId="0" fontId="2" fillId="0" borderId="0"/>
    <xf numFmtId="0" fontId="2" fillId="0" borderId="0"/>
    <xf numFmtId="9" fontId="2" fillId="0" borderId="0" applyFont="0" applyFill="0" applyBorder="0" applyProtection="0">
      <alignment horizontal="center" vertical="center"/>
    </xf>
    <xf numFmtId="11" fontId="2" fillId="0" borderId="0">
      <alignment vertical="center" wrapText="1"/>
    </xf>
    <xf numFmtId="49" fontId="15" fillId="0" borderId="2" applyNumberFormat="0" applyFont="0" applyFill="0" applyBorder="0" applyProtection="0">
      <alignment horizontal="left" vertical="center" indent="2"/>
    </xf>
    <xf numFmtId="49" fontId="15" fillId="0" borderId="3" applyNumberFormat="0" applyFont="0" applyFill="0" applyBorder="0" applyProtection="0">
      <alignment horizontal="left" vertical="center" indent="5"/>
    </xf>
    <xf numFmtId="0" fontId="16" fillId="3" borderId="0">
      <alignment horizontal="left" vertical="center"/>
    </xf>
    <xf numFmtId="4" fontId="17" fillId="0" borderId="4" applyFill="0" applyBorder="0" applyProtection="0">
      <alignment horizontal="right" vertical="center"/>
    </xf>
    <xf numFmtId="166" fontId="2" fillId="0" borderId="0">
      <alignment vertical="center"/>
      <protection locked="0"/>
    </xf>
    <xf numFmtId="167" fontId="18" fillId="0" borderId="0" applyFont="0" applyFill="0" applyBorder="0" applyAlignment="0" applyProtection="0"/>
    <xf numFmtId="168" fontId="18" fillId="0" borderId="0" applyFont="0" applyFill="0" applyBorder="0" applyAlignment="0" applyProtection="0"/>
    <xf numFmtId="0" fontId="19" fillId="0" borderId="0">
      <alignment vertical="center"/>
    </xf>
    <xf numFmtId="169" fontId="18" fillId="0" borderId="0" applyFont="0" applyFill="0" applyBorder="0" applyAlignment="0" applyProtection="0"/>
    <xf numFmtId="170" fontId="18" fillId="0" borderId="0" applyFont="0" applyFill="0" applyBorder="0" applyAlignment="0" applyProtection="0"/>
    <xf numFmtId="171" fontId="20" fillId="0" borderId="0"/>
    <xf numFmtId="0" fontId="16" fillId="4" borderId="0">
      <alignment horizontal="center" vertical="center" wrapText="1"/>
    </xf>
    <xf numFmtId="172" fontId="21" fillId="8" borderId="0">
      <alignment horizontal="center" vertical="center"/>
    </xf>
    <xf numFmtId="0" fontId="22" fillId="0" borderId="0" applyFont="0" applyFill="0" applyBorder="0" applyAlignment="0" applyProtection="0">
      <alignment vertical="center"/>
    </xf>
    <xf numFmtId="0" fontId="23" fillId="0" borderId="0" applyNumberFormat="0" applyFill="0" applyBorder="0" applyAlignment="0" applyProtection="0"/>
    <xf numFmtId="173" fontId="2" fillId="0" borderId="0">
      <alignment vertical="center"/>
    </xf>
    <xf numFmtId="174" fontId="2" fillId="0" borderId="0">
      <alignment vertical="center"/>
      <protection locked="0"/>
    </xf>
    <xf numFmtId="175" fontId="2" fillId="0" borderId="0">
      <alignment vertical="center"/>
    </xf>
    <xf numFmtId="176" fontId="24" fillId="0" borderId="0"/>
    <xf numFmtId="0" fontId="16" fillId="8" borderId="0">
      <alignment horizontal="left" vertical="center"/>
    </xf>
    <xf numFmtId="177" fontId="24" fillId="0" borderId="0"/>
    <xf numFmtId="178" fontId="20" fillId="0" borderId="0"/>
    <xf numFmtId="179" fontId="2" fillId="0" borderId="0">
      <alignment vertical="center"/>
    </xf>
    <xf numFmtId="180" fontId="22" fillId="0" borderId="0">
      <alignment horizontal="center" vertical="center" wrapText="1"/>
    </xf>
    <xf numFmtId="181" fontId="20" fillId="0" borderId="0"/>
    <xf numFmtId="182" fontId="20" fillId="0" borderId="0"/>
    <xf numFmtId="4" fontId="15" fillId="0" borderId="2" applyFill="0" applyBorder="0" applyProtection="0">
      <alignment horizontal="right" vertical="center"/>
    </xf>
    <xf numFmtId="49" fontId="17" fillId="0" borderId="2" applyNumberFormat="0" applyFill="0" applyBorder="0" applyProtection="0">
      <alignment horizontal="left" vertical="center"/>
    </xf>
    <xf numFmtId="0" fontId="15" fillId="0" borderId="2" applyNumberFormat="0" applyFill="0" applyAlignment="0" applyProtection="0"/>
    <xf numFmtId="0" fontId="18" fillId="0" borderId="0"/>
    <xf numFmtId="0" fontId="25" fillId="0" borderId="1" applyFont="0" applyFill="0" applyBorder="0" applyProtection="0">
      <alignment horizontal="center"/>
    </xf>
    <xf numFmtId="183" fontId="2" fillId="0" borderId="0"/>
    <xf numFmtId="164" fontId="2" fillId="9" borderId="0">
      <alignment horizontal="center" vertical="center"/>
    </xf>
    <xf numFmtId="184" fontId="2" fillId="0" borderId="0">
      <alignment vertical="center"/>
    </xf>
    <xf numFmtId="185" fontId="2" fillId="0" borderId="0">
      <alignment vertical="center"/>
    </xf>
    <xf numFmtId="186" fontId="16" fillId="0" borderId="0">
      <alignment vertical="center" wrapText="1"/>
    </xf>
    <xf numFmtId="0" fontId="6" fillId="2" borderId="0">
      <alignment vertical="center" wrapText="1"/>
    </xf>
    <xf numFmtId="187" fontId="2" fillId="3" borderId="0">
      <alignment horizontal="right" vertical="center"/>
    </xf>
    <xf numFmtId="186" fontId="26" fillId="0" borderId="0">
      <alignment horizontal="center" vertical="center"/>
    </xf>
    <xf numFmtId="0" fontId="16" fillId="10" borderId="0">
      <alignment horizontal="left" vertical="center"/>
    </xf>
    <xf numFmtId="11" fontId="20" fillId="0" borderId="0"/>
    <xf numFmtId="180" fontId="2" fillId="0" borderId="0">
      <alignment horizontal="center" vertical="center"/>
    </xf>
    <xf numFmtId="172" fontId="2" fillId="0" borderId="0">
      <alignment horizontal="center" vertical="center"/>
    </xf>
    <xf numFmtId="188" fontId="24" fillId="0" borderId="0"/>
    <xf numFmtId="0" fontId="2" fillId="0" borderId="0"/>
    <xf numFmtId="43" fontId="1" fillId="0" borderId="0" applyFont="0" applyFill="0" applyBorder="0" applyAlignment="0" applyProtection="0"/>
    <xf numFmtId="0" fontId="38" fillId="14" borderId="0" applyBorder="0">
      <alignment horizontal="left" vertical="center" indent="1"/>
    </xf>
    <xf numFmtId="196" fontId="39" fillId="15" borderId="5" applyBorder="0" applyAlignment="0">
      <alignment horizontal="left" vertical="center" indent="1"/>
    </xf>
    <xf numFmtId="196" fontId="40" fillId="16" borderId="26" applyBorder="0">
      <alignment horizontal="left" vertical="center" indent="1"/>
    </xf>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1" fontId="25" fillId="0" borderId="0" applyFont="0" applyFill="0" applyBorder="0" applyAlignment="0" applyProtection="0"/>
    <xf numFmtId="0" fontId="16" fillId="0" borderId="0">
      <alignment vertical="center"/>
    </xf>
    <xf numFmtId="0" fontId="2" fillId="0" borderId="0"/>
    <xf numFmtId="0" fontId="1" fillId="0" borderId="0"/>
    <xf numFmtId="0" fontId="1" fillId="0" borderId="0"/>
    <xf numFmtId="0" fontId="1" fillId="0" borderId="0"/>
    <xf numFmtId="0" fontId="1" fillId="0" borderId="0"/>
    <xf numFmtId="0" fontId="41" fillId="0" borderId="0"/>
    <xf numFmtId="0" fontId="42" fillId="11" borderId="0" applyBorder="0">
      <alignment horizontal="left" vertical="center" indent="1"/>
    </xf>
    <xf numFmtId="0" fontId="16" fillId="10" borderId="0">
      <alignment horizontal="left" vertical="center"/>
    </xf>
    <xf numFmtId="172" fontId="2" fillId="0" borderId="0">
      <alignment horizontal="center" vertical="center"/>
    </xf>
  </cellStyleXfs>
  <cellXfs count="576">
    <xf numFmtId="0" fontId="0" fillId="0" borderId="0" xfId="0"/>
    <xf numFmtId="0" fontId="0" fillId="2" borderId="0" xfId="0" applyFill="1"/>
    <xf numFmtId="0" fontId="6" fillId="2" borderId="0" xfId="0" applyFont="1" applyFill="1"/>
    <xf numFmtId="0" fontId="7" fillId="2" borderId="0" xfId="0" applyFont="1" applyFill="1"/>
    <xf numFmtId="0" fontId="10" fillId="2" borderId="0" xfId="0" applyFont="1" applyFill="1"/>
    <xf numFmtId="0" fontId="11" fillId="2" borderId="0" xfId="0" applyFont="1" applyFill="1"/>
    <xf numFmtId="0" fontId="6" fillId="5" borderId="0" xfId="0" applyFont="1" applyFill="1"/>
    <xf numFmtId="0" fontId="6" fillId="6" borderId="0" xfId="0" applyFont="1" applyFill="1"/>
    <xf numFmtId="0" fontId="7" fillId="6" borderId="0" xfId="0" applyFont="1" applyFill="1"/>
    <xf numFmtId="0" fontId="13" fillId="6" borderId="0" xfId="2" applyFont="1" applyFill="1" applyAlignment="1" applyProtection="1"/>
    <xf numFmtId="0" fontId="6" fillId="7" borderId="0" xfId="0" applyFont="1" applyFill="1"/>
    <xf numFmtId="0" fontId="14" fillId="7" borderId="0" xfId="0" applyFont="1" applyFill="1" applyAlignment="1">
      <alignment vertical="center"/>
    </xf>
    <xf numFmtId="0" fontId="9" fillId="7" borderId="0" xfId="0" applyFont="1" applyFill="1"/>
    <xf numFmtId="0" fontId="12" fillId="7" borderId="0" xfId="0" applyFont="1" applyFill="1"/>
    <xf numFmtId="0" fontId="6" fillId="7" borderId="0" xfId="0" applyFont="1" applyFill="1" applyAlignment="1">
      <alignment horizontal="left"/>
    </xf>
    <xf numFmtId="0" fontId="6" fillId="6" borderId="0" xfId="0" applyFont="1" applyFill="1" applyAlignment="1">
      <alignment vertical="top"/>
    </xf>
    <xf numFmtId="0" fontId="2" fillId="0" borderId="0" xfId="0" applyFont="1"/>
    <xf numFmtId="189" fontId="6" fillId="6" borderId="0" xfId="0" applyNumberFormat="1" applyFont="1" applyFill="1"/>
    <xf numFmtId="0" fontId="2" fillId="0" borderId="12" xfId="52" applyBorder="1"/>
    <xf numFmtId="0" fontId="27" fillId="0" borderId="13" xfId="52" applyFont="1" applyBorder="1"/>
    <xf numFmtId="0" fontId="2" fillId="0" borderId="14" xfId="52" applyBorder="1"/>
    <xf numFmtId="0" fontId="27" fillId="0" borderId="15" xfId="52" applyFont="1" applyBorder="1"/>
    <xf numFmtId="0" fontId="2" fillId="0" borderId="0" xfId="52"/>
    <xf numFmtId="43" fontId="2" fillId="0" borderId="0" xfId="53" applyFont="1" applyBorder="1"/>
    <xf numFmtId="190" fontId="2" fillId="0" borderId="0" xfId="52" applyNumberFormat="1"/>
    <xf numFmtId="0" fontId="32" fillId="9" borderId="17" xfId="52" applyFont="1" applyFill="1" applyBorder="1" applyAlignment="1">
      <alignment horizontal="center" vertical="center" wrapText="1"/>
    </xf>
    <xf numFmtId="0" fontId="3" fillId="9" borderId="17" xfId="52" applyFont="1" applyFill="1" applyBorder="1" applyAlignment="1">
      <alignment horizontal="center" vertical="center" wrapText="1"/>
    </xf>
    <xf numFmtId="0" fontId="33" fillId="9" borderId="15" xfId="52" applyFont="1" applyFill="1" applyBorder="1" applyAlignment="1">
      <alignment horizontal="center" vertical="center" wrapText="1"/>
    </xf>
    <xf numFmtId="0" fontId="3" fillId="9" borderId="15" xfId="52" applyFont="1" applyFill="1" applyBorder="1" applyAlignment="1">
      <alignment horizontal="center" vertical="center" wrapText="1"/>
    </xf>
    <xf numFmtId="0" fontId="3" fillId="0" borderId="0" xfId="52" applyFont="1" applyAlignment="1">
      <alignment vertical="center"/>
    </xf>
    <xf numFmtId="0" fontId="3" fillId="9" borderId="24" xfId="52" applyFont="1" applyFill="1" applyBorder="1" applyAlignment="1">
      <alignment horizontal="center" vertical="center" wrapText="1"/>
    </xf>
    <xf numFmtId="0" fontId="2" fillId="0" borderId="0" xfId="5"/>
    <xf numFmtId="0" fontId="27" fillId="0" borderId="0" xfId="52" applyFont="1"/>
    <xf numFmtId="0" fontId="27" fillId="0" borderId="0" xfId="52" applyFont="1" applyAlignment="1">
      <alignment horizontal="center"/>
    </xf>
    <xf numFmtId="0" fontId="44" fillId="11" borderId="6" xfId="52" applyFont="1" applyFill="1" applyBorder="1" applyAlignment="1">
      <alignment horizontal="left"/>
    </xf>
    <xf numFmtId="0" fontId="43" fillId="11" borderId="7" xfId="52" applyFont="1" applyFill="1" applyBorder="1" applyAlignment="1">
      <alignment horizontal="left"/>
    </xf>
    <xf numFmtId="0" fontId="44" fillId="11" borderId="7" xfId="52" applyFont="1" applyFill="1" applyBorder="1" applyAlignment="1">
      <alignment horizontal="left"/>
    </xf>
    <xf numFmtId="0" fontId="44" fillId="11" borderId="7" xfId="52" applyFont="1" applyFill="1" applyBorder="1" applyAlignment="1">
      <alignment horizontal="center"/>
    </xf>
    <xf numFmtId="0" fontId="43" fillId="0" borderId="0" xfId="52" applyFont="1"/>
    <xf numFmtId="0" fontId="45" fillId="11" borderId="8" xfId="52" applyFont="1" applyFill="1" applyBorder="1"/>
    <xf numFmtId="0" fontId="46" fillId="11" borderId="9" xfId="5" applyFont="1" applyFill="1" applyBorder="1" applyAlignment="1">
      <alignment horizontal="left"/>
    </xf>
    <xf numFmtId="0" fontId="45" fillId="11" borderId="0" xfId="52" applyFont="1" applyFill="1"/>
    <xf numFmtId="0" fontId="46" fillId="11" borderId="10" xfId="5" applyFont="1" applyFill="1" applyBorder="1" applyAlignment="1">
      <alignment horizontal="left"/>
    </xf>
    <xf numFmtId="0" fontId="46" fillId="11" borderId="0" xfId="52" applyFont="1" applyFill="1"/>
    <xf numFmtId="0" fontId="45" fillId="0" borderId="0" xfId="52" applyFont="1"/>
    <xf numFmtId="0" fontId="31" fillId="6" borderId="11" xfId="52" applyFont="1" applyFill="1" applyBorder="1" applyAlignment="1">
      <alignment vertical="top" wrapText="1"/>
    </xf>
    <xf numFmtId="0" fontId="2" fillId="6" borderId="0" xfId="5" applyFill="1"/>
    <xf numFmtId="0" fontId="27" fillId="6" borderId="0" xfId="52" applyFont="1" applyFill="1"/>
    <xf numFmtId="0" fontId="2" fillId="6" borderId="0" xfId="52" applyFill="1"/>
    <xf numFmtId="0" fontId="27" fillId="6" borderId="0" xfId="52" applyFont="1" applyFill="1" applyAlignment="1">
      <alignment horizontal="center"/>
    </xf>
    <xf numFmtId="0" fontId="27" fillId="6" borderId="16" xfId="52" applyFont="1" applyFill="1" applyBorder="1" applyAlignment="1">
      <alignment wrapText="1"/>
    </xf>
    <xf numFmtId="0" fontId="2" fillId="6" borderId="21" xfId="52" applyFill="1" applyBorder="1"/>
    <xf numFmtId="0" fontId="31" fillId="6" borderId="13" xfId="52" applyFont="1" applyFill="1" applyBorder="1" applyAlignment="1">
      <alignment vertical="top" wrapText="1"/>
    </xf>
    <xf numFmtId="0" fontId="3" fillId="6" borderId="21" xfId="52" applyFont="1" applyFill="1" applyBorder="1" applyAlignment="1">
      <alignment vertical="center"/>
    </xf>
    <xf numFmtId="0" fontId="3" fillId="6" borderId="25" xfId="52" applyFont="1" applyFill="1" applyBorder="1" applyAlignment="1">
      <alignment vertical="center"/>
    </xf>
    <xf numFmtId="0" fontId="2" fillId="6" borderId="24" xfId="5" applyFill="1" applyBorder="1" applyAlignment="1">
      <alignment horizontal="center" wrapText="1"/>
    </xf>
    <xf numFmtId="0" fontId="32" fillId="6" borderId="17" xfId="52" applyFont="1" applyFill="1" applyBorder="1" applyAlignment="1">
      <alignment horizontal="center" vertical="center" wrapText="1"/>
    </xf>
    <xf numFmtId="0" fontId="3" fillId="6" borderId="17" xfId="52" applyFont="1" applyFill="1" applyBorder="1" applyAlignment="1">
      <alignment horizontal="center" vertical="center" wrapText="1"/>
    </xf>
    <xf numFmtId="0" fontId="33" fillId="6" borderId="15" xfId="52" applyFont="1" applyFill="1" applyBorder="1" applyAlignment="1">
      <alignment horizontal="center" vertical="center" wrapText="1"/>
    </xf>
    <xf numFmtId="0" fontId="34" fillId="6" borderId="15" xfId="52" applyFont="1" applyFill="1" applyBorder="1" applyAlignment="1">
      <alignment horizontal="center" vertical="center" wrapText="1"/>
    </xf>
    <xf numFmtId="3" fontId="3" fillId="6" borderId="24" xfId="5" applyNumberFormat="1" applyFont="1" applyFill="1" applyBorder="1" applyAlignment="1">
      <alignment horizontal="center" vertical="center" wrapText="1"/>
    </xf>
    <xf numFmtId="191" fontId="3" fillId="6" borderId="24" xfId="5" applyNumberFormat="1" applyFont="1" applyFill="1" applyBorder="1" applyAlignment="1">
      <alignment horizontal="center" vertical="center" wrapText="1"/>
    </xf>
    <xf numFmtId="0" fontId="46" fillId="0" borderId="27" xfId="0" applyFont="1" applyBorder="1"/>
    <xf numFmtId="0" fontId="0" fillId="0" borderId="27" xfId="0" applyBorder="1"/>
    <xf numFmtId="0" fontId="27" fillId="0" borderId="27" xfId="0" applyFont="1" applyBorder="1"/>
    <xf numFmtId="0" fontId="48" fillId="0" borderId="0" xfId="5" applyFont="1"/>
    <xf numFmtId="0" fontId="48" fillId="0" borderId="27" xfId="5" applyFont="1" applyBorder="1"/>
    <xf numFmtId="14" fontId="48" fillId="0" borderId="0" xfId="5" applyNumberFormat="1" applyFont="1"/>
    <xf numFmtId="0" fontId="48" fillId="0" borderId="0" xfId="5" quotePrefix="1" applyFont="1"/>
    <xf numFmtId="0" fontId="49" fillId="0" borderId="27" xfId="5" applyFont="1" applyBorder="1"/>
    <xf numFmtId="0" fontId="50" fillId="0" borderId="27" xfId="5" applyFont="1" applyBorder="1"/>
    <xf numFmtId="0" fontId="7" fillId="7" borderId="0" xfId="4" applyFont="1" applyFill="1"/>
    <xf numFmtId="192" fontId="27" fillId="12" borderId="28" xfId="5" quotePrefix="1" applyNumberFormat="1" applyFont="1" applyFill="1" applyBorder="1" applyAlignment="1">
      <alignment horizontal="left" vertical="center" wrapText="1"/>
    </xf>
    <xf numFmtId="0" fontId="27" fillId="12" borderId="28" xfId="52" applyFont="1" applyFill="1" applyBorder="1" applyAlignment="1">
      <alignment vertical="center" wrapText="1"/>
    </xf>
    <xf numFmtId="0" fontId="27" fillId="17" borderId="28" xfId="52" applyFont="1" applyFill="1" applyBorder="1" applyAlignment="1">
      <alignment horizontal="center" vertical="center" wrapText="1"/>
    </xf>
    <xf numFmtId="0" fontId="36" fillId="12" borderId="28" xfId="52" applyFont="1" applyFill="1" applyBorder="1" applyAlignment="1">
      <alignment vertical="center" wrapText="1"/>
    </xf>
    <xf numFmtId="190" fontId="36" fillId="12" borderId="28" xfId="5" applyNumberFormat="1" applyFont="1" applyFill="1" applyBorder="1" applyAlignment="1">
      <alignment vertical="center" wrapText="1"/>
    </xf>
    <xf numFmtId="2" fontId="36" fillId="12" borderId="28" xfId="5" applyNumberFormat="1" applyFont="1" applyFill="1" applyBorder="1" applyAlignment="1">
      <alignment vertical="center" wrapText="1"/>
    </xf>
    <xf numFmtId="0" fontId="27" fillId="12" borderId="28" xfId="5" applyFont="1" applyFill="1" applyBorder="1" applyAlignment="1">
      <alignment horizontal="center" vertical="center" wrapText="1"/>
    </xf>
    <xf numFmtId="0" fontId="2" fillId="12" borderId="28" xfId="5" applyFill="1" applyBorder="1" applyAlignment="1">
      <alignment horizontal="center" vertical="center" wrapText="1"/>
    </xf>
    <xf numFmtId="0" fontId="36" fillId="12" borderId="28" xfId="5" applyFont="1" applyFill="1" applyBorder="1" applyAlignment="1">
      <alignment vertical="center" wrapText="1"/>
    </xf>
    <xf numFmtId="193" fontId="2" fillId="5" borderId="28" xfId="5" applyNumberFormat="1" applyFill="1" applyBorder="1" applyAlignment="1">
      <alignment horizontal="left" vertical="center"/>
    </xf>
    <xf numFmtId="0" fontId="2" fillId="5" borderId="28" xfId="52" applyFill="1" applyBorder="1" applyAlignment="1">
      <alignment vertical="center" wrapText="1"/>
    </xf>
    <xf numFmtId="3" fontId="2" fillId="5" borderId="28" xfId="52" applyNumberFormat="1" applyFill="1" applyBorder="1" applyAlignment="1">
      <alignment horizontal="center" vertical="center" wrapText="1"/>
    </xf>
    <xf numFmtId="0" fontId="2" fillId="5" borderId="28" xfId="52" applyFill="1" applyBorder="1" applyAlignment="1">
      <alignment horizontal="center" vertical="center" wrapText="1"/>
    </xf>
    <xf numFmtId="3" fontId="27" fillId="13" borderId="28" xfId="5" applyNumberFormat="1" applyFont="1" applyFill="1" applyBorder="1" applyAlignment="1">
      <alignment horizontal="center" vertical="center" wrapText="1"/>
    </xf>
    <xf numFmtId="3" fontId="2" fillId="13" borderId="28" xfId="5" applyNumberFormat="1" applyFill="1" applyBorder="1" applyAlignment="1">
      <alignment horizontal="center" vertical="center" wrapText="1"/>
    </xf>
    <xf numFmtId="165" fontId="27" fillId="5" borderId="28" xfId="5" applyNumberFormat="1" applyFont="1" applyFill="1" applyBorder="1" applyAlignment="1">
      <alignment horizontal="center" vertical="center" wrapText="1"/>
    </xf>
    <xf numFmtId="1" fontId="2" fillId="5" borderId="28" xfId="5" applyNumberFormat="1" applyFill="1" applyBorder="1" applyAlignment="1">
      <alignment horizontal="center" vertical="center" wrapText="1"/>
    </xf>
    <xf numFmtId="0" fontId="2" fillId="5" borderId="28" xfId="5" applyFill="1" applyBorder="1" applyAlignment="1">
      <alignment horizontal="center" vertical="center" wrapText="1"/>
    </xf>
    <xf numFmtId="190" fontId="27" fillId="5" borderId="28" xfId="5" applyNumberFormat="1" applyFont="1" applyFill="1" applyBorder="1" applyAlignment="1">
      <alignment horizontal="center" vertical="center" wrapText="1"/>
    </xf>
    <xf numFmtId="190" fontId="2" fillId="5" borderId="28" xfId="5" applyNumberFormat="1" applyFill="1" applyBorder="1" applyAlignment="1">
      <alignment horizontal="center" vertical="center" wrapText="1"/>
    </xf>
    <xf numFmtId="2" fontId="27" fillId="5" borderId="28" xfId="5" applyNumberFormat="1" applyFont="1" applyFill="1" applyBorder="1" applyAlignment="1">
      <alignment horizontal="center" vertical="center" wrapText="1"/>
    </xf>
    <xf numFmtId="2" fontId="2" fillId="5" borderId="28" xfId="5" applyNumberFormat="1" applyFill="1" applyBorder="1" applyAlignment="1">
      <alignment horizontal="center" vertical="center" wrapText="1"/>
    </xf>
    <xf numFmtId="192" fontId="27" fillId="12" borderId="28" xfId="52" quotePrefix="1" applyNumberFormat="1" applyFont="1" applyFill="1" applyBorder="1" applyAlignment="1">
      <alignment horizontal="left" vertical="center" wrapText="1"/>
    </xf>
    <xf numFmtId="190" fontId="27" fillId="12" borderId="28" xfId="5" applyNumberFormat="1" applyFont="1" applyFill="1" applyBorder="1" applyAlignment="1">
      <alignment horizontal="center" vertical="center" wrapText="1"/>
    </xf>
    <xf numFmtId="190" fontId="2" fillId="12" borderId="28" xfId="5" applyNumberFormat="1" applyFill="1" applyBorder="1" applyAlignment="1">
      <alignment horizontal="center" vertical="center" wrapText="1"/>
    </xf>
    <xf numFmtId="1" fontId="27" fillId="5" borderId="28" xfId="5" applyNumberFormat="1" applyFont="1" applyFill="1" applyBorder="1" applyAlignment="1">
      <alignment horizontal="center" vertical="center" wrapText="1"/>
    </xf>
    <xf numFmtId="0" fontId="2" fillId="5" borderId="28" xfId="5" applyFill="1" applyBorder="1" applyAlignment="1">
      <alignment horizontal="left" vertical="center" wrapText="1"/>
    </xf>
    <xf numFmtId="165" fontId="27" fillId="12" borderId="28" xfId="5" applyNumberFormat="1" applyFont="1" applyFill="1" applyBorder="1" applyAlignment="1">
      <alignment horizontal="center" vertical="center" wrapText="1"/>
    </xf>
    <xf numFmtId="190" fontId="2" fillId="5" borderId="28" xfId="52" applyNumberFormat="1" applyFill="1" applyBorder="1" applyAlignment="1">
      <alignment horizontal="center" vertical="center" wrapText="1"/>
    </xf>
    <xf numFmtId="0" fontId="27" fillId="12" borderId="28" xfId="5" quotePrefix="1" applyFont="1" applyFill="1" applyBorder="1" applyAlignment="1">
      <alignment vertical="center" wrapText="1"/>
    </xf>
    <xf numFmtId="11" fontId="27" fillId="16" borderId="28" xfId="0" applyNumberFormat="1" applyFont="1" applyFill="1" applyBorder="1" applyAlignment="1">
      <alignment vertical="center" wrapText="1"/>
    </xf>
    <xf numFmtId="11" fontId="27" fillId="16" borderId="28" xfId="0" applyNumberFormat="1" applyFont="1" applyFill="1" applyBorder="1" applyAlignment="1">
      <alignment horizontal="center" vertical="center" shrinkToFit="1"/>
    </xf>
    <xf numFmtId="11" fontId="2" fillId="16" borderId="28" xfId="0" applyNumberFormat="1" applyFont="1" applyFill="1" applyBorder="1" applyAlignment="1">
      <alignment horizontal="center" vertical="center" wrapText="1"/>
    </xf>
    <xf numFmtId="11" fontId="2" fillId="5" borderId="28" xfId="0" applyNumberFormat="1" applyFont="1" applyFill="1" applyBorder="1" applyAlignment="1">
      <alignment horizontal="center" vertical="center" shrinkToFit="1"/>
    </xf>
    <xf numFmtId="11" fontId="2" fillId="5" borderId="28" xfId="0" applyNumberFormat="1" applyFont="1" applyFill="1" applyBorder="1" applyAlignment="1">
      <alignment horizontal="center" vertical="center" wrapText="1"/>
    </xf>
    <xf numFmtId="193" fontId="51" fillId="5" borderId="28" xfId="5" quotePrefix="1" applyNumberFormat="1" applyFont="1" applyFill="1" applyBorder="1" applyAlignment="1">
      <alignment vertical="center"/>
    </xf>
    <xf numFmtId="193" fontId="2" fillId="5" borderId="28" xfId="5" applyNumberFormat="1" applyFill="1" applyBorder="1" applyAlignment="1">
      <alignment vertical="center"/>
    </xf>
    <xf numFmtId="1" fontId="27" fillId="9" borderId="28" xfId="0" applyNumberFormat="1" applyFont="1" applyFill="1" applyBorder="1" applyAlignment="1">
      <alignment horizontal="center" vertical="center" wrapText="1"/>
    </xf>
    <xf numFmtId="1" fontId="2" fillId="9" borderId="28" xfId="0" applyNumberFormat="1" applyFont="1" applyFill="1" applyBorder="1" applyAlignment="1">
      <alignment horizontal="center" vertical="center" wrapText="1"/>
    </xf>
    <xf numFmtId="190" fontId="27" fillId="5" borderId="28" xfId="1" applyNumberFormat="1" applyFont="1" applyFill="1" applyBorder="1" applyAlignment="1">
      <alignment horizontal="center" vertical="center" wrapText="1"/>
    </xf>
    <xf numFmtId="194" fontId="27" fillId="5" borderId="28" xfId="1" applyNumberFormat="1" applyFont="1" applyFill="1" applyBorder="1" applyAlignment="1">
      <alignment horizontal="center" vertical="center" wrapText="1"/>
    </xf>
    <xf numFmtId="2" fontId="27" fillId="5" borderId="28" xfId="1" applyNumberFormat="1" applyFont="1" applyFill="1" applyBorder="1" applyAlignment="1">
      <alignment horizontal="center" vertical="center" wrapText="1"/>
    </xf>
    <xf numFmtId="11" fontId="2" fillId="5" borderId="28" xfId="0" applyNumberFormat="1" applyFont="1" applyFill="1" applyBorder="1" applyAlignment="1">
      <alignment vertical="center" wrapText="1"/>
    </xf>
    <xf numFmtId="0" fontId="27" fillId="5" borderId="16" xfId="52" applyFont="1" applyFill="1" applyBorder="1" applyAlignment="1">
      <alignment wrapText="1"/>
    </xf>
    <xf numFmtId="11" fontId="29" fillId="5" borderId="30" xfId="0" applyNumberFormat="1" applyFont="1" applyFill="1" applyBorder="1" applyAlignment="1">
      <alignment horizontal="centerContinuous" vertical="center" wrapText="1"/>
    </xf>
    <xf numFmtId="11" fontId="29" fillId="5" borderId="31" xfId="0" applyNumberFormat="1" applyFont="1" applyFill="1" applyBorder="1" applyAlignment="1">
      <alignment horizontal="centerContinuous" vertical="center" wrapText="1"/>
    </xf>
    <xf numFmtId="11" fontId="30" fillId="5" borderId="16" xfId="0" applyNumberFormat="1" applyFont="1" applyFill="1" applyBorder="1" applyAlignment="1">
      <alignment horizontal="center" vertical="top" wrapText="1"/>
    </xf>
    <xf numFmtId="0" fontId="2" fillId="5" borderId="16" xfId="0" applyFont="1" applyFill="1" applyBorder="1"/>
    <xf numFmtId="11" fontId="30" fillId="5" borderId="21" xfId="0" applyNumberFormat="1" applyFont="1" applyFill="1" applyBorder="1" applyAlignment="1">
      <alignment horizontal="center" vertical="top" wrapText="1"/>
    </xf>
    <xf numFmtId="0" fontId="2" fillId="5" borderId="21" xfId="0" applyFont="1" applyFill="1" applyBorder="1"/>
    <xf numFmtId="0" fontId="2" fillId="5" borderId="21" xfId="52" applyFill="1" applyBorder="1"/>
    <xf numFmtId="11" fontId="31" fillId="5" borderId="8" xfId="0" applyNumberFormat="1" applyFont="1" applyFill="1" applyBorder="1" applyAlignment="1">
      <alignment vertical="top" wrapText="1"/>
    </xf>
    <xf numFmtId="11" fontId="31" fillId="5" borderId="21" xfId="0" applyNumberFormat="1" applyFont="1" applyFill="1" applyBorder="1" applyAlignment="1">
      <alignment horizontal="center" vertical="top" wrapText="1"/>
    </xf>
    <xf numFmtId="11" fontId="32" fillId="5" borderId="21" xfId="0" applyNumberFormat="1" applyFont="1" applyFill="1" applyBorder="1" applyAlignment="1">
      <alignment vertical="top" wrapText="1"/>
    </xf>
    <xf numFmtId="11" fontId="32" fillId="9" borderId="16" xfId="0" applyNumberFormat="1" applyFont="1" applyFill="1" applyBorder="1" applyAlignment="1">
      <alignment horizontal="center" vertical="center" wrapText="1"/>
    </xf>
    <xf numFmtId="11" fontId="3" fillId="9" borderId="16" xfId="0" applyNumberFormat="1" applyFont="1" applyFill="1" applyBorder="1" applyAlignment="1">
      <alignment horizontal="center" vertical="center" wrapText="1"/>
    </xf>
    <xf numFmtId="11" fontId="3" fillId="18" borderId="16" xfId="0" applyNumberFormat="1" applyFont="1" applyFill="1" applyBorder="1" applyAlignment="1">
      <alignment horizontal="center" vertical="center" wrapText="1"/>
    </xf>
    <xf numFmtId="11" fontId="32" fillId="5" borderId="37" xfId="0" applyNumberFormat="1" applyFont="1" applyFill="1" applyBorder="1" applyAlignment="1">
      <alignment horizontal="center" vertical="center" wrapText="1"/>
    </xf>
    <xf numFmtId="11" fontId="3" fillId="5" borderId="16" xfId="0" applyNumberFormat="1" applyFont="1" applyFill="1" applyBorder="1" applyAlignment="1">
      <alignment horizontal="center" vertical="center" wrapText="1"/>
    </xf>
    <xf numFmtId="11" fontId="32" fillId="5" borderId="16" xfId="0" applyNumberFormat="1" applyFont="1" applyFill="1" applyBorder="1" applyAlignment="1">
      <alignment horizontal="center" vertical="center" wrapText="1"/>
    </xf>
    <xf numFmtId="0" fontId="3" fillId="5" borderId="21" xfId="52" applyFont="1" applyFill="1" applyBorder="1" applyAlignment="1">
      <alignment vertical="center"/>
    </xf>
    <xf numFmtId="11" fontId="29" fillId="5" borderId="21" xfId="0" applyNumberFormat="1" applyFont="1" applyFill="1" applyBorder="1" applyAlignment="1">
      <alignment vertical="top" wrapText="1"/>
    </xf>
    <xf numFmtId="11" fontId="33" fillId="9" borderId="21" xfId="0" applyNumberFormat="1" applyFont="1" applyFill="1" applyBorder="1" applyAlignment="1">
      <alignment horizontal="center" vertical="center" wrapText="1"/>
    </xf>
    <xf numFmtId="11" fontId="34" fillId="9" borderId="21" xfId="0" applyNumberFormat="1" applyFont="1" applyFill="1" applyBorder="1" applyAlignment="1">
      <alignment horizontal="center" vertical="center" wrapText="1"/>
    </xf>
    <xf numFmtId="11" fontId="33" fillId="5" borderId="13" xfId="0" applyNumberFormat="1" applyFont="1" applyFill="1" applyBorder="1" applyAlignment="1">
      <alignment horizontal="center" vertical="center" wrapText="1"/>
    </xf>
    <xf numFmtId="11" fontId="34" fillId="5" borderId="21" xfId="0" applyNumberFormat="1" applyFont="1" applyFill="1" applyBorder="1" applyAlignment="1">
      <alignment horizontal="center" vertical="center" wrapText="1"/>
    </xf>
    <xf numFmtId="11" fontId="33" fillId="5" borderId="21" xfId="0" applyNumberFormat="1" applyFont="1" applyFill="1" applyBorder="1" applyAlignment="1">
      <alignment horizontal="center" vertical="center" wrapText="1"/>
    </xf>
    <xf numFmtId="0" fontId="3" fillId="5" borderId="42" xfId="52" applyFont="1" applyFill="1" applyBorder="1" applyAlignment="1">
      <alignment vertical="center"/>
    </xf>
    <xf numFmtId="11" fontId="31" fillId="5" borderId="46" xfId="0" applyNumberFormat="1" applyFont="1" applyFill="1" applyBorder="1" applyAlignment="1">
      <alignment vertical="top" wrapText="1"/>
    </xf>
    <xf numFmtId="11" fontId="31" fillId="5" borderId="42" xfId="0" applyNumberFormat="1" applyFont="1" applyFill="1" applyBorder="1" applyAlignment="1">
      <alignment horizontal="center" vertical="top" wrapText="1"/>
    </xf>
    <xf numFmtId="11" fontId="30" fillId="5" borderId="42" xfId="0" applyNumberFormat="1" applyFont="1" applyFill="1" applyBorder="1" applyAlignment="1">
      <alignment vertical="top" wrapText="1"/>
    </xf>
    <xf numFmtId="11" fontId="3" fillId="9" borderId="42" xfId="0" applyNumberFormat="1" applyFont="1" applyFill="1" applyBorder="1" applyAlignment="1">
      <alignment horizontal="center" vertical="center" wrapText="1"/>
    </xf>
    <xf numFmtId="191" fontId="3" fillId="5" borderId="42" xfId="0" applyNumberFormat="1" applyFont="1" applyFill="1" applyBorder="1" applyAlignment="1">
      <alignment horizontal="center" vertical="center" wrapText="1"/>
    </xf>
    <xf numFmtId="0" fontId="8" fillId="7" borderId="0" xfId="0" applyFont="1" applyFill="1"/>
    <xf numFmtId="0" fontId="6" fillId="0" borderId="0" xfId="0" applyFont="1"/>
    <xf numFmtId="0" fontId="55" fillId="7" borderId="0" xfId="4" applyFont="1" applyFill="1"/>
    <xf numFmtId="0" fontId="6" fillId="7" borderId="0" xfId="4" applyFont="1" applyFill="1"/>
    <xf numFmtId="0" fontId="7" fillId="6" borderId="0" xfId="4" applyFont="1" applyFill="1"/>
    <xf numFmtId="0" fontId="54" fillId="6" borderId="0" xfId="4" applyFont="1" applyFill="1" applyAlignment="1">
      <alignment horizontal="right"/>
    </xf>
    <xf numFmtId="0" fontId="6" fillId="20" borderId="0" xfId="0" applyFont="1" applyFill="1"/>
    <xf numFmtId="0" fontId="9" fillId="20" borderId="0" xfId="0" applyFont="1" applyFill="1" applyAlignment="1">
      <alignment vertical="top"/>
    </xf>
    <xf numFmtId="0" fontId="8" fillId="20" borderId="0" xfId="0" applyFont="1" applyFill="1" applyAlignment="1">
      <alignment horizontal="right" wrapText="1"/>
    </xf>
    <xf numFmtId="0" fontId="9" fillId="20" borderId="51" xfId="0" applyFont="1" applyFill="1" applyBorder="1"/>
    <xf numFmtId="0" fontId="8" fillId="20" borderId="51" xfId="0" applyFont="1" applyFill="1" applyBorder="1" applyAlignment="1">
      <alignment horizontal="right" wrapText="1"/>
    </xf>
    <xf numFmtId="0" fontId="6" fillId="20" borderId="52" xfId="0" applyFont="1" applyFill="1" applyBorder="1"/>
    <xf numFmtId="3" fontId="6" fillId="20" borderId="52" xfId="0" applyNumberFormat="1" applyFont="1" applyFill="1" applyBorder="1"/>
    <xf numFmtId="191" fontId="6" fillId="20" borderId="52" xfId="0" applyNumberFormat="1" applyFont="1" applyFill="1" applyBorder="1"/>
    <xf numFmtId="4" fontId="6" fillId="20" borderId="52" xfId="0" applyNumberFormat="1" applyFont="1" applyFill="1" applyBorder="1"/>
    <xf numFmtId="189" fontId="8" fillId="20" borderId="0" xfId="1" applyNumberFormat="1" applyFont="1" applyFill="1" applyBorder="1" applyAlignment="1">
      <alignment horizontal="center"/>
    </xf>
    <xf numFmtId="0" fontId="7" fillId="20" borderId="0" xfId="0" applyFont="1" applyFill="1" applyAlignment="1">
      <alignment horizontal="left" indent="1"/>
    </xf>
    <xf numFmtId="189" fontId="7" fillId="20" borderId="0" xfId="1" applyNumberFormat="1" applyFont="1" applyFill="1" applyBorder="1" applyAlignment="1">
      <alignment horizontal="center"/>
    </xf>
    <xf numFmtId="0" fontId="6" fillId="20" borderId="53" xfId="0" applyFont="1" applyFill="1" applyBorder="1"/>
    <xf numFmtId="3" fontId="6" fillId="20" borderId="53" xfId="0" applyNumberFormat="1" applyFont="1" applyFill="1" applyBorder="1"/>
    <xf numFmtId="191" fontId="6" fillId="20" borderId="53" xfId="0" applyNumberFormat="1" applyFont="1" applyFill="1" applyBorder="1"/>
    <xf numFmtId="4" fontId="6" fillId="20" borderId="53" xfId="0" applyNumberFormat="1" applyFont="1" applyFill="1" applyBorder="1"/>
    <xf numFmtId="0" fontId="8" fillId="20" borderId="52" xfId="0" applyFont="1" applyFill="1" applyBorder="1"/>
    <xf numFmtId="3" fontId="8" fillId="20" borderId="52" xfId="0" applyNumberFormat="1" applyFont="1" applyFill="1" applyBorder="1"/>
    <xf numFmtId="191" fontId="8" fillId="20" borderId="52" xfId="0" applyNumberFormat="1" applyFont="1" applyFill="1" applyBorder="1"/>
    <xf numFmtId="4" fontId="8" fillId="20" borderId="52" xfId="0" applyNumberFormat="1" applyFont="1" applyFill="1" applyBorder="1"/>
    <xf numFmtId="0" fontId="6" fillId="7" borderId="54" xfId="0" applyFont="1" applyFill="1" applyBorder="1"/>
    <xf numFmtId="0" fontId="58" fillId="5" borderId="28" xfId="52" applyFont="1" applyFill="1" applyBorder="1" applyAlignment="1">
      <alignment vertical="center" wrapText="1"/>
    </xf>
    <xf numFmtId="3" fontId="58" fillId="5" borderId="28" xfId="52" applyNumberFormat="1" applyFont="1" applyFill="1" applyBorder="1" applyAlignment="1">
      <alignment horizontal="center" vertical="center" wrapText="1"/>
    </xf>
    <xf numFmtId="0" fontId="58" fillId="5" borderId="28" xfId="52" applyFont="1" applyFill="1" applyBorder="1" applyAlignment="1">
      <alignment horizontal="center" vertical="center" wrapText="1"/>
    </xf>
    <xf numFmtId="3" fontId="59" fillId="13" borderId="28" xfId="5" applyNumberFormat="1" applyFont="1" applyFill="1" applyBorder="1" applyAlignment="1">
      <alignment horizontal="center" vertical="center" wrapText="1"/>
    </xf>
    <xf numFmtId="3" fontId="58" fillId="13" borderId="28" xfId="5" applyNumberFormat="1" applyFont="1" applyFill="1" applyBorder="1" applyAlignment="1">
      <alignment horizontal="center" vertical="center" wrapText="1"/>
    </xf>
    <xf numFmtId="1" fontId="59" fillId="5" borderId="28" xfId="5" applyNumberFormat="1" applyFont="1" applyFill="1" applyBorder="1" applyAlignment="1">
      <alignment horizontal="center" vertical="center" wrapText="1"/>
    </xf>
    <xf numFmtId="1" fontId="58" fillId="5" borderId="28" xfId="5" applyNumberFormat="1" applyFont="1" applyFill="1" applyBorder="1" applyAlignment="1">
      <alignment horizontal="center" vertical="center" wrapText="1"/>
    </xf>
    <xf numFmtId="165" fontId="59" fillId="5" borderId="28" xfId="5" applyNumberFormat="1" applyFont="1" applyFill="1" applyBorder="1" applyAlignment="1">
      <alignment horizontal="center" vertical="center" wrapText="1"/>
    </xf>
    <xf numFmtId="165" fontId="58" fillId="5" borderId="28" xfId="5" applyNumberFormat="1" applyFont="1" applyFill="1" applyBorder="1" applyAlignment="1">
      <alignment horizontal="center" vertical="center" wrapText="1"/>
    </xf>
    <xf numFmtId="0" fontId="58" fillId="5" borderId="28" xfId="5" applyFont="1" applyFill="1" applyBorder="1" applyAlignment="1">
      <alignment horizontal="center" vertical="center" wrapText="1"/>
    </xf>
    <xf numFmtId="2" fontId="59" fillId="5" borderId="28" xfId="5" applyNumberFormat="1" applyFont="1" applyFill="1" applyBorder="1" applyAlignment="1">
      <alignment horizontal="center" vertical="center" wrapText="1"/>
    </xf>
    <xf numFmtId="2" fontId="58" fillId="5" borderId="28" xfId="5" applyNumberFormat="1" applyFont="1" applyFill="1" applyBorder="1" applyAlignment="1">
      <alignment horizontal="center" vertical="center" wrapText="1"/>
    </xf>
    <xf numFmtId="165" fontId="58" fillId="13" borderId="28" xfId="5" applyNumberFormat="1" applyFont="1" applyFill="1" applyBorder="1" applyAlignment="1">
      <alignment horizontal="center" vertical="center" wrapText="1"/>
    </xf>
    <xf numFmtId="190" fontId="58" fillId="5" borderId="28" xfId="5" applyNumberFormat="1" applyFont="1" applyFill="1" applyBorder="1" applyAlignment="1">
      <alignment horizontal="center" vertical="center" wrapText="1"/>
    </xf>
    <xf numFmtId="194" fontId="58" fillId="5" borderId="28" xfId="5" applyNumberFormat="1" applyFont="1" applyFill="1" applyBorder="1" applyAlignment="1">
      <alignment horizontal="center" vertical="center" wrapText="1"/>
    </xf>
    <xf numFmtId="0" fontId="60" fillId="5" borderId="28" xfId="52" applyFont="1" applyFill="1" applyBorder="1" applyAlignment="1">
      <alignment vertical="center" wrapText="1"/>
    </xf>
    <xf numFmtId="0" fontId="27" fillId="16" borderId="28" xfId="0" applyFont="1" applyFill="1" applyBorder="1" applyAlignment="1">
      <alignment horizontal="center" vertical="center"/>
    </xf>
    <xf numFmtId="0" fontId="36" fillId="16" borderId="28" xfId="0" applyFont="1" applyFill="1" applyBorder="1" applyAlignment="1">
      <alignment vertical="center"/>
    </xf>
    <xf numFmtId="0" fontId="36" fillId="16" borderId="28" xfId="0" applyFont="1" applyFill="1" applyBorder="1" applyAlignment="1">
      <alignment horizontal="center" vertical="center"/>
    </xf>
    <xf numFmtId="0" fontId="2" fillId="5" borderId="28" xfId="0" applyFont="1" applyFill="1" applyBorder="1" applyAlignment="1">
      <alignment vertical="center"/>
    </xf>
    <xf numFmtId="0" fontId="2" fillId="5" borderId="28" xfId="0" applyFont="1" applyFill="1" applyBorder="1" applyAlignment="1">
      <alignment horizontal="center" vertical="center"/>
    </xf>
    <xf numFmtId="2" fontId="27" fillId="5" borderId="28" xfId="0" applyNumberFormat="1" applyFont="1" applyFill="1" applyBorder="1" applyAlignment="1">
      <alignment horizontal="center" vertical="center"/>
    </xf>
    <xf numFmtId="0" fontId="27" fillId="5" borderId="16" xfId="52" applyFont="1" applyFill="1" applyBorder="1" applyAlignment="1">
      <alignment vertical="center" wrapText="1"/>
    </xf>
    <xf numFmtId="0" fontId="29" fillId="18" borderId="16" xfId="0" applyFont="1" applyFill="1" applyBorder="1" applyAlignment="1">
      <alignment horizontal="center" vertical="center" wrapText="1"/>
    </xf>
    <xf numFmtId="0" fontId="29" fillId="5" borderId="16" xfId="0" applyFont="1" applyFill="1" applyBorder="1" applyAlignment="1">
      <alignment horizontal="center" vertical="center" wrapText="1"/>
    </xf>
    <xf numFmtId="0" fontId="30" fillId="5" borderId="16" xfId="0" applyFont="1" applyFill="1" applyBorder="1" applyAlignment="1">
      <alignment horizontal="center" vertical="center" wrapText="1"/>
    </xf>
    <xf numFmtId="0" fontId="2" fillId="5" borderId="16" xfId="0" applyFont="1" applyFill="1" applyBorder="1" applyAlignment="1">
      <alignment vertical="center"/>
    </xf>
    <xf numFmtId="0" fontId="30" fillId="18" borderId="21" xfId="0" applyFont="1" applyFill="1" applyBorder="1" applyAlignment="1">
      <alignment horizontal="center" vertical="center" wrapText="1"/>
    </xf>
    <xf numFmtId="0" fontId="29" fillId="5" borderId="21" xfId="0" applyFont="1" applyFill="1" applyBorder="1" applyAlignment="1">
      <alignment horizontal="center" vertical="center" wrapText="1"/>
    </xf>
    <xf numFmtId="0" fontId="32" fillId="5" borderId="21" xfId="0" applyFont="1" applyFill="1" applyBorder="1" applyAlignment="1">
      <alignment horizontal="center" vertical="center" wrapText="1"/>
    </xf>
    <xf numFmtId="0" fontId="30" fillId="5" borderId="21" xfId="0" applyFont="1" applyFill="1" applyBorder="1" applyAlignment="1">
      <alignment horizontal="center" vertical="center" wrapText="1"/>
    </xf>
    <xf numFmtId="0" fontId="29" fillId="5" borderId="21" xfId="0" applyFont="1" applyFill="1" applyBorder="1" applyAlignment="1">
      <alignment vertical="center" wrapText="1"/>
    </xf>
    <xf numFmtId="0" fontId="33" fillId="5" borderId="21" xfId="0" applyFont="1" applyFill="1" applyBorder="1" applyAlignment="1">
      <alignment horizontal="center" vertical="center" wrapText="1"/>
    </xf>
    <xf numFmtId="0" fontId="2" fillId="5" borderId="42" xfId="52" applyFill="1" applyBorder="1" applyAlignment="1">
      <alignment vertical="center"/>
    </xf>
    <xf numFmtId="0" fontId="31" fillId="5" borderId="42" xfId="0" applyFont="1" applyFill="1" applyBorder="1" applyAlignment="1">
      <alignment vertical="center" wrapText="1"/>
    </xf>
    <xf numFmtId="0" fontId="31" fillId="5" borderId="42" xfId="0" applyFont="1" applyFill="1" applyBorder="1" applyAlignment="1">
      <alignment horizontal="center" vertical="center" wrapText="1"/>
    </xf>
    <xf numFmtId="0" fontId="30" fillId="5" borderId="42" xfId="0" applyFont="1" applyFill="1" applyBorder="1" applyAlignment="1">
      <alignment horizontal="center" vertical="center" wrapText="1"/>
    </xf>
    <xf numFmtId="191" fontId="3" fillId="18" borderId="42" xfId="0" applyNumberFormat="1" applyFont="1" applyFill="1" applyBorder="1" applyAlignment="1">
      <alignment horizontal="center" vertical="center" wrapText="1"/>
    </xf>
    <xf numFmtId="0" fontId="60" fillId="5" borderId="28" xfId="5" applyFont="1" applyFill="1" applyBorder="1" applyAlignment="1">
      <alignment horizontal="left" vertical="center" wrapText="1"/>
    </xf>
    <xf numFmtId="3" fontId="60" fillId="5" borderId="28" xfId="52" applyNumberFormat="1" applyFont="1" applyFill="1" applyBorder="1" applyAlignment="1">
      <alignment horizontal="center" vertical="center" wrapText="1"/>
    </xf>
    <xf numFmtId="0" fontId="60" fillId="5" borderId="28" xfId="52" applyFont="1" applyFill="1" applyBorder="1" applyAlignment="1">
      <alignment horizontal="center" vertical="center" wrapText="1"/>
    </xf>
    <xf numFmtId="3" fontId="61" fillId="13" borderId="28" xfId="5" applyNumberFormat="1" applyFont="1" applyFill="1" applyBorder="1" applyAlignment="1">
      <alignment horizontal="center" vertical="center" wrapText="1"/>
    </xf>
    <xf numFmtId="3" fontId="60" fillId="13" borderId="28" xfId="5" applyNumberFormat="1" applyFont="1" applyFill="1" applyBorder="1" applyAlignment="1">
      <alignment horizontal="center" vertical="center" wrapText="1"/>
    </xf>
    <xf numFmtId="165" fontId="61" fillId="5" borderId="28" xfId="5" applyNumberFormat="1" applyFont="1" applyFill="1" applyBorder="1" applyAlignment="1">
      <alignment horizontal="center" vertical="center" wrapText="1"/>
    </xf>
    <xf numFmtId="165" fontId="60" fillId="5" borderId="28" xfId="5" applyNumberFormat="1" applyFont="1" applyFill="1" applyBorder="1" applyAlignment="1">
      <alignment horizontal="center" vertical="center" wrapText="1"/>
    </xf>
    <xf numFmtId="190" fontId="60" fillId="5" borderId="28" xfId="5" applyNumberFormat="1" applyFont="1" applyFill="1" applyBorder="1" applyAlignment="1">
      <alignment horizontal="center" vertical="center" wrapText="1"/>
    </xf>
    <xf numFmtId="2" fontId="61" fillId="5" borderId="28" xfId="5" applyNumberFormat="1" applyFont="1" applyFill="1" applyBorder="1" applyAlignment="1">
      <alignment horizontal="center" vertical="center" wrapText="1"/>
    </xf>
    <xf numFmtId="2" fontId="60" fillId="5" borderId="28" xfId="5" applyNumberFormat="1" applyFont="1" applyFill="1" applyBorder="1" applyAlignment="1">
      <alignment horizontal="center" vertical="center" wrapText="1"/>
    </xf>
    <xf numFmtId="193" fontId="60" fillId="5" borderId="28" xfId="5" applyNumberFormat="1" applyFont="1" applyFill="1" applyBorder="1" applyAlignment="1">
      <alignment horizontal="left" vertical="center"/>
    </xf>
    <xf numFmtId="0" fontId="60" fillId="13" borderId="28" xfId="5" applyFont="1" applyFill="1" applyBorder="1" applyAlignment="1">
      <alignment horizontal="center" vertical="center" wrapText="1"/>
    </xf>
    <xf numFmtId="1" fontId="60" fillId="5" borderId="28" xfId="5" applyNumberFormat="1" applyFont="1" applyFill="1" applyBorder="1" applyAlignment="1">
      <alignment horizontal="center" vertical="center" wrapText="1"/>
    </xf>
    <xf numFmtId="0" fontId="60" fillId="5" borderId="28" xfId="5" applyFont="1" applyFill="1" applyBorder="1" applyAlignment="1">
      <alignment horizontal="center" vertical="center" wrapText="1"/>
    </xf>
    <xf numFmtId="193" fontId="58" fillId="5" borderId="28" xfId="5" applyNumberFormat="1" applyFont="1" applyFill="1" applyBorder="1" applyAlignment="1">
      <alignment horizontal="left" vertical="center"/>
    </xf>
    <xf numFmtId="0" fontId="58" fillId="13" borderId="28" xfId="5" applyFont="1" applyFill="1" applyBorder="1" applyAlignment="1">
      <alignment horizontal="center" vertical="center" wrapText="1"/>
    </xf>
    <xf numFmtId="165" fontId="2" fillId="13" borderId="28" xfId="5" applyNumberFormat="1" applyFill="1" applyBorder="1" applyAlignment="1">
      <alignment horizontal="center" vertical="center" wrapText="1"/>
    </xf>
    <xf numFmtId="194" fontId="2" fillId="5" borderId="28" xfId="5" applyNumberFormat="1" applyFill="1" applyBorder="1" applyAlignment="1">
      <alignment horizontal="center" vertical="center" wrapText="1"/>
    </xf>
    <xf numFmtId="193" fontId="2" fillId="5" borderId="28" xfId="5" quotePrefix="1" applyNumberFormat="1" applyFill="1" applyBorder="1" applyAlignment="1">
      <alignment horizontal="left" vertical="center"/>
    </xf>
    <xf numFmtId="190" fontId="0" fillId="0" borderId="0" xfId="0" applyNumberFormat="1"/>
    <xf numFmtId="190" fontId="2" fillId="0" borderId="0" xfId="0" applyNumberFormat="1" applyFont="1"/>
    <xf numFmtId="0" fontId="27" fillId="16" borderId="28" xfId="0" applyFont="1" applyFill="1" applyBorder="1" applyAlignment="1">
      <alignment vertical="center" wrapText="1"/>
    </xf>
    <xf numFmtId="165" fontId="62" fillId="7" borderId="0" xfId="3" applyNumberFormat="1" applyFont="1" applyFill="1" applyBorder="1" applyAlignment="1"/>
    <xf numFmtId="0" fontId="57" fillId="7" borderId="0" xfId="0" applyFont="1" applyFill="1" applyAlignment="1">
      <alignment horizontal="left" vertical="center"/>
    </xf>
    <xf numFmtId="0" fontId="8" fillId="7" borderId="0" xfId="0" applyFont="1" applyFill="1" applyAlignment="1">
      <alignment horizontal="left"/>
    </xf>
    <xf numFmtId="0" fontId="8" fillId="7" borderId="0" xfId="0" applyFont="1" applyFill="1" applyAlignment="1">
      <alignment horizontal="right"/>
    </xf>
    <xf numFmtId="0" fontId="57" fillId="7" borderId="60" xfId="0" applyFont="1" applyFill="1" applyBorder="1" applyAlignment="1">
      <alignment vertical="top"/>
    </xf>
    <xf numFmtId="0" fontId="8" fillId="7" borderId="56" xfId="0" applyFont="1" applyFill="1" applyBorder="1"/>
    <xf numFmtId="0" fontId="6" fillId="7" borderId="56" xfId="0" applyFont="1" applyFill="1" applyBorder="1"/>
    <xf numFmtId="0" fontId="8" fillId="7" borderId="60" xfId="0" applyFont="1" applyFill="1" applyBorder="1" applyAlignment="1">
      <alignment horizontal="left"/>
    </xf>
    <xf numFmtId="0" fontId="8" fillId="7" borderId="54" xfId="0" applyFont="1" applyFill="1" applyBorder="1"/>
    <xf numFmtId="0" fontId="8" fillId="7" borderId="60" xfId="0" applyFont="1" applyFill="1" applyBorder="1"/>
    <xf numFmtId="0" fontId="57" fillId="7" borderId="0" xfId="0" applyFont="1" applyFill="1" applyAlignment="1">
      <alignment vertical="center"/>
    </xf>
    <xf numFmtId="1" fontId="6" fillId="7" borderId="56" xfId="0" applyNumberFormat="1" applyFont="1" applyFill="1" applyBorder="1"/>
    <xf numFmtId="2" fontId="6" fillId="7" borderId="0" xfId="0" applyNumberFormat="1" applyFont="1" applyFill="1"/>
    <xf numFmtId="2" fontId="6" fillId="7" borderId="54" xfId="0" applyNumberFormat="1" applyFont="1" applyFill="1" applyBorder="1"/>
    <xf numFmtId="165" fontId="6" fillId="7" borderId="0" xfId="0" applyNumberFormat="1" applyFont="1" applyFill="1"/>
    <xf numFmtId="165" fontId="6" fillId="7" borderId="54" xfId="0" applyNumberFormat="1" applyFont="1" applyFill="1" applyBorder="1"/>
    <xf numFmtId="0" fontId="8" fillId="7" borderId="61" xfId="0" applyFont="1" applyFill="1" applyBorder="1" applyAlignment="1">
      <alignment horizontal="left"/>
    </xf>
    <xf numFmtId="165" fontId="6" fillId="7" borderId="60" xfId="0" applyNumberFormat="1" applyFont="1" applyFill="1" applyBorder="1"/>
    <xf numFmtId="2" fontId="6" fillId="7" borderId="60" xfId="0" applyNumberFormat="1" applyFont="1" applyFill="1" applyBorder="1"/>
    <xf numFmtId="2" fontId="6" fillId="7" borderId="62" xfId="0" applyNumberFormat="1" applyFont="1" applyFill="1" applyBorder="1"/>
    <xf numFmtId="3" fontId="6" fillId="7" borderId="55" xfId="0" applyNumberFormat="1" applyFont="1" applyFill="1" applyBorder="1"/>
    <xf numFmtId="3" fontId="6" fillId="7" borderId="60" xfId="0" applyNumberFormat="1" applyFont="1" applyFill="1" applyBorder="1"/>
    <xf numFmtId="3" fontId="6" fillId="7" borderId="56" xfId="0" applyNumberFormat="1" applyFont="1" applyFill="1" applyBorder="1"/>
    <xf numFmtId="2" fontId="6" fillId="7" borderId="63" xfId="0" applyNumberFormat="1" applyFont="1" applyFill="1" applyBorder="1"/>
    <xf numFmtId="3" fontId="6" fillId="7" borderId="57" xfId="0" applyNumberFormat="1" applyFont="1" applyFill="1" applyBorder="1"/>
    <xf numFmtId="3" fontId="6" fillId="7" borderId="54" xfId="0" applyNumberFormat="1" applyFont="1" applyFill="1" applyBorder="1"/>
    <xf numFmtId="2" fontId="6" fillId="7" borderId="61" xfId="0" applyNumberFormat="1" applyFont="1" applyFill="1" applyBorder="1"/>
    <xf numFmtId="0" fontId="6" fillId="0" borderId="0" xfId="4" applyFont="1" applyProtection="1">
      <protection locked="0"/>
    </xf>
    <xf numFmtId="165" fontId="7" fillId="7" borderId="0" xfId="3" applyNumberFormat="1" applyFont="1" applyFill="1" applyBorder="1" applyAlignment="1"/>
    <xf numFmtId="0" fontId="64" fillId="2" borderId="0" xfId="0" applyFont="1" applyFill="1" applyAlignment="1">
      <alignment horizontal="right"/>
    </xf>
    <xf numFmtId="0" fontId="64" fillId="2" borderId="0" xfId="0" applyFont="1" applyFill="1" applyAlignment="1">
      <alignment horizontal="left"/>
    </xf>
    <xf numFmtId="14" fontId="64" fillId="2" borderId="0" xfId="0" applyNumberFormat="1" applyFont="1" applyFill="1" applyAlignment="1">
      <alignment horizontal="right"/>
    </xf>
    <xf numFmtId="0" fontId="6" fillId="7" borderId="0" xfId="4" applyFont="1" applyFill="1" applyAlignment="1">
      <alignment horizontal="right"/>
    </xf>
    <xf numFmtId="0" fontId="57" fillId="7" borderId="60" xfId="0" applyFont="1" applyFill="1" applyBorder="1" applyAlignment="1">
      <alignment horizontal="left" vertical="top"/>
    </xf>
    <xf numFmtId="0" fontId="6" fillId="0" borderId="0" xfId="4" applyFont="1"/>
    <xf numFmtId="0" fontId="6" fillId="7" borderId="0" xfId="0" applyFont="1" applyFill="1" applyAlignment="1">
      <alignment vertical="top"/>
    </xf>
    <xf numFmtId="0" fontId="14" fillId="6" borderId="0" xfId="0" applyFont="1" applyFill="1" applyAlignment="1">
      <alignment vertical="center"/>
    </xf>
    <xf numFmtId="1" fontId="2" fillId="0" borderId="28" xfId="5" applyNumberFormat="1" applyBorder="1" applyAlignment="1">
      <alignment horizontal="center" vertical="center" wrapText="1"/>
    </xf>
    <xf numFmtId="0" fontId="2" fillId="5" borderId="0" xfId="52" applyFill="1" applyAlignment="1">
      <alignment vertical="center"/>
    </xf>
    <xf numFmtId="0" fontId="45" fillId="11" borderId="64" xfId="52" applyFont="1" applyFill="1" applyBorder="1" applyAlignment="1">
      <alignment vertical="center"/>
    </xf>
    <xf numFmtId="0" fontId="29" fillId="5" borderId="37" xfId="52" applyFont="1" applyFill="1" applyBorder="1" applyAlignment="1">
      <alignment horizontal="center" vertical="center" wrapText="1"/>
    </xf>
    <xf numFmtId="0" fontId="2" fillId="5" borderId="13" xfId="52" applyFill="1" applyBorder="1" applyAlignment="1">
      <alignment horizontal="center" vertical="center" wrapText="1"/>
    </xf>
    <xf numFmtId="0" fontId="29" fillId="5" borderId="13" xfId="52" applyFont="1" applyFill="1" applyBorder="1" applyAlignment="1">
      <alignment horizontal="center" vertical="center" wrapText="1"/>
    </xf>
    <xf numFmtId="0" fontId="3" fillId="5" borderId="16" xfId="52" applyFont="1" applyFill="1" applyBorder="1" applyAlignment="1">
      <alignment horizontal="center" vertical="center" wrapText="1"/>
    </xf>
    <xf numFmtId="0" fontId="3" fillId="5" borderId="21" xfId="52" applyFont="1" applyFill="1" applyBorder="1" applyAlignment="1">
      <alignment horizontal="center" vertical="center" wrapText="1"/>
    </xf>
    <xf numFmtId="190" fontId="27" fillId="9" borderId="28" xfId="0" applyNumberFormat="1" applyFont="1" applyFill="1" applyBorder="1" applyAlignment="1">
      <alignment horizontal="center" vertical="center"/>
    </xf>
    <xf numFmtId="2" fontId="2" fillId="5" borderId="28" xfId="1" applyNumberFormat="1" applyFont="1" applyFill="1" applyBorder="1" applyAlignment="1">
      <alignment horizontal="center" vertical="center"/>
    </xf>
    <xf numFmtId="190" fontId="2" fillId="5" borderId="28" xfId="1" applyNumberFormat="1" applyFont="1" applyFill="1" applyBorder="1" applyAlignment="1">
      <alignment horizontal="center" vertical="center"/>
    </xf>
    <xf numFmtId="194" fontId="2" fillId="5" borderId="28" xfId="1" applyNumberFormat="1" applyFont="1" applyFill="1" applyBorder="1" applyAlignment="1">
      <alignment horizontal="center" vertical="center"/>
    </xf>
    <xf numFmtId="195" fontId="2" fillId="5" borderId="28" xfId="1" applyNumberFormat="1" applyFont="1" applyFill="1" applyBorder="1" applyAlignment="1">
      <alignment horizontal="center" vertical="center"/>
    </xf>
    <xf numFmtId="197" fontId="2" fillId="5" borderId="28" xfId="1" applyNumberFormat="1" applyFont="1" applyFill="1" applyBorder="1" applyAlignment="1">
      <alignment horizontal="center" vertical="center"/>
    </xf>
    <xf numFmtId="3" fontId="27" fillId="13" borderId="28" xfId="52" applyNumberFormat="1" applyFont="1" applyFill="1" applyBorder="1" applyAlignment="1">
      <alignment horizontal="center" vertical="center" wrapText="1"/>
    </xf>
    <xf numFmtId="3" fontId="2" fillId="13" borderId="28" xfId="52" applyNumberFormat="1" applyFill="1" applyBorder="1" applyAlignment="1">
      <alignment horizontal="center" vertical="center" wrapText="1"/>
    </xf>
    <xf numFmtId="0" fontId="2" fillId="13" borderId="28" xfId="52" applyFill="1" applyBorder="1" applyAlignment="1">
      <alignment horizontal="center" vertical="center" wrapText="1"/>
    </xf>
    <xf numFmtId="1" fontId="27" fillId="5" borderId="28" xfId="52" applyNumberFormat="1" applyFont="1" applyFill="1" applyBorder="1" applyAlignment="1">
      <alignment horizontal="center" vertical="center" wrapText="1"/>
    </xf>
    <xf numFmtId="1" fontId="2" fillId="0" borderId="28" xfId="52" applyNumberFormat="1" applyBorder="1" applyAlignment="1">
      <alignment horizontal="center" vertical="center" wrapText="1"/>
    </xf>
    <xf numFmtId="2" fontId="27" fillId="5" borderId="28" xfId="52" applyNumberFormat="1" applyFont="1" applyFill="1" applyBorder="1" applyAlignment="1">
      <alignment horizontal="center" vertical="center" wrapText="1"/>
    </xf>
    <xf numFmtId="2" fontId="2" fillId="5" borderId="28" xfId="52" applyNumberFormat="1" applyFill="1" applyBorder="1" applyAlignment="1">
      <alignment horizontal="center" vertical="center" wrapText="1"/>
    </xf>
    <xf numFmtId="165" fontId="27" fillId="5" borderId="28" xfId="52" applyNumberFormat="1" applyFont="1" applyFill="1" applyBorder="1" applyAlignment="1">
      <alignment horizontal="center" vertical="center" wrapText="1"/>
    </xf>
    <xf numFmtId="3" fontId="3" fillId="5" borderId="42" xfId="0" applyNumberFormat="1" applyFont="1" applyFill="1" applyBorder="1" applyAlignment="1">
      <alignment horizontal="center" vertical="center" wrapText="1"/>
    </xf>
    <xf numFmtId="3" fontId="3" fillId="5" borderId="47" xfId="0" applyNumberFormat="1" applyFont="1" applyFill="1" applyBorder="1" applyAlignment="1">
      <alignment horizontal="center" vertical="center" wrapText="1"/>
    </xf>
    <xf numFmtId="3" fontId="27" fillId="5" borderId="28" xfId="5" applyNumberFormat="1" applyFont="1" applyFill="1" applyBorder="1" applyAlignment="1">
      <alignment horizontal="center" vertical="center" wrapText="1"/>
    </xf>
    <xf numFmtId="0" fontId="28" fillId="0" borderId="0" xfId="52" applyFont="1"/>
    <xf numFmtId="164" fontId="6" fillId="0" borderId="0" xfId="3" applyNumberFormat="1" applyFont="1" applyFill="1" applyBorder="1" applyAlignment="1" applyProtection="1">
      <protection locked="0"/>
    </xf>
    <xf numFmtId="190" fontId="68" fillId="9" borderId="28" xfId="0" applyNumberFormat="1" applyFont="1" applyFill="1" applyBorder="1" applyAlignment="1">
      <alignment horizontal="center" vertical="center"/>
    </xf>
    <xf numFmtId="2" fontId="68" fillId="5" borderId="28" xfId="0" applyNumberFormat="1" applyFont="1" applyFill="1" applyBorder="1" applyAlignment="1">
      <alignment horizontal="center" vertical="center"/>
    </xf>
    <xf numFmtId="0" fontId="0" fillId="0" borderId="0" xfId="0" applyFill="1"/>
    <xf numFmtId="0" fontId="14" fillId="0" borderId="0" xfId="0" applyFont="1" applyFill="1" applyAlignment="1">
      <alignment vertical="center"/>
    </xf>
    <xf numFmtId="0" fontId="6" fillId="7" borderId="0" xfId="0" applyFont="1" applyFill="1" applyBorder="1"/>
    <xf numFmtId="0" fontId="6" fillId="0" borderId="0" xfId="0" applyFont="1" applyFill="1" applyBorder="1"/>
    <xf numFmtId="0" fontId="14" fillId="7" borderId="0" xfId="0" applyFont="1" applyFill="1" applyBorder="1" applyAlignment="1">
      <alignment vertical="center"/>
    </xf>
    <xf numFmtId="0" fontId="6" fillId="0" borderId="0" xfId="0" applyFont="1" applyFill="1" applyAlignment="1">
      <alignment vertical="top"/>
    </xf>
    <xf numFmtId="0" fontId="6" fillId="7" borderId="0" xfId="0" applyFont="1" applyFill="1" applyAlignment="1">
      <alignment vertical="center"/>
    </xf>
    <xf numFmtId="0" fontId="6" fillId="7" borderId="0" xfId="0" applyFont="1" applyFill="1" applyBorder="1" applyAlignment="1">
      <alignment vertical="center"/>
    </xf>
    <xf numFmtId="0" fontId="0" fillId="7" borderId="0" xfId="0" applyFill="1"/>
    <xf numFmtId="165" fontId="47" fillId="7" borderId="0" xfId="0" applyNumberFormat="1" applyFont="1" applyFill="1" applyAlignment="1">
      <alignment horizontal="left"/>
    </xf>
    <xf numFmtId="0" fontId="65" fillId="7" borderId="0" xfId="0" applyFont="1" applyFill="1" applyBorder="1" applyAlignment="1">
      <alignment vertical="center"/>
    </xf>
    <xf numFmtId="0" fontId="0" fillId="2" borderId="0" xfId="0" applyFill="1" applyBorder="1"/>
    <xf numFmtId="0" fontId="14" fillId="0" borderId="0" xfId="0" applyFont="1" applyFill="1" applyBorder="1" applyAlignment="1">
      <alignment vertical="center"/>
    </xf>
    <xf numFmtId="0" fontId="65" fillId="0" borderId="0" xfId="0" applyFont="1" applyFill="1" applyBorder="1"/>
    <xf numFmtId="0" fontId="6" fillId="7" borderId="0" xfId="0" applyFont="1" applyFill="1" applyBorder="1" applyAlignment="1">
      <alignment vertical="top"/>
    </xf>
    <xf numFmtId="0" fontId="0" fillId="0" borderId="0" xfId="0" applyFill="1" applyBorder="1"/>
    <xf numFmtId="0" fontId="6" fillId="7" borderId="0" xfId="0" applyFont="1" applyFill="1" applyBorder="1" applyAlignment="1">
      <alignment horizontal="right" vertical="center"/>
    </xf>
    <xf numFmtId="0" fontId="57" fillId="20" borderId="0" xfId="0" applyFont="1" applyFill="1" applyBorder="1" applyAlignment="1">
      <alignment horizontal="left"/>
    </xf>
    <xf numFmtId="0" fontId="8" fillId="20" borderId="0" xfId="0" applyFont="1" applyFill="1" applyBorder="1" applyAlignment="1">
      <alignment horizontal="right" wrapText="1"/>
    </xf>
    <xf numFmtId="0" fontId="57" fillId="0" borderId="0" xfId="0" applyFont="1" applyFill="1" applyBorder="1" applyAlignment="1">
      <alignment horizontal="left"/>
    </xf>
    <xf numFmtId="0" fontId="57" fillId="0" borderId="0" xfId="0" applyFont="1" applyFill="1" applyBorder="1" applyAlignment="1">
      <alignment horizontal="left" vertical="top"/>
    </xf>
    <xf numFmtId="0" fontId="8" fillId="0" borderId="0" xfId="0" applyFont="1" applyFill="1" applyBorder="1" applyAlignment="1">
      <alignment horizontal="right" wrapText="1"/>
    </xf>
    <xf numFmtId="0" fontId="57" fillId="20" borderId="0" xfId="0" applyFont="1" applyFill="1" applyBorder="1" applyAlignment="1">
      <alignment horizontal="left" vertical="center"/>
    </xf>
    <xf numFmtId="0" fontId="8" fillId="21" borderId="0" xfId="0" applyFont="1" applyFill="1" applyBorder="1" applyAlignment="1">
      <alignment horizontal="left" vertical="top"/>
    </xf>
    <xf numFmtId="0" fontId="57" fillId="21" borderId="0" xfId="0" applyFont="1" applyFill="1" applyBorder="1" applyAlignment="1">
      <alignment horizontal="left" vertical="top"/>
    </xf>
    <xf numFmtId="0" fontId="8" fillId="21" borderId="0" xfId="0" applyFont="1" applyFill="1" applyBorder="1" applyAlignment="1">
      <alignment horizontal="right" wrapText="1"/>
    </xf>
    <xf numFmtId="0" fontId="6" fillId="21" borderId="0" xfId="0" applyFont="1" applyFill="1" applyAlignment="1">
      <alignment horizontal="left" wrapText="1"/>
    </xf>
    <xf numFmtId="0" fontId="8" fillId="21" borderId="0" xfId="0" applyFont="1" applyFill="1" applyAlignment="1">
      <alignment horizontal="right" wrapText="1"/>
    </xf>
    <xf numFmtId="0" fontId="8" fillId="21" borderId="0" xfId="0" applyFont="1" applyFill="1" applyBorder="1" applyAlignment="1">
      <alignment horizontal="left" wrapText="1"/>
    </xf>
    <xf numFmtId="0" fontId="69" fillId="21" borderId="0" xfId="0" applyFont="1" applyFill="1" applyBorder="1" applyAlignment="1">
      <alignment horizontal="right" wrapText="1"/>
    </xf>
    <xf numFmtId="0" fontId="6" fillId="21" borderId="0" xfId="0" applyFont="1" applyFill="1" applyBorder="1" applyAlignment="1">
      <alignment horizontal="left" wrapText="1"/>
    </xf>
    <xf numFmtId="3" fontId="6" fillId="21" borderId="0" xfId="0" applyNumberFormat="1" applyFont="1" applyFill="1" applyBorder="1" applyAlignment="1">
      <alignment horizontal="right" wrapText="1"/>
    </xf>
    <xf numFmtId="4" fontId="6" fillId="21" borderId="0" xfId="0" applyNumberFormat="1" applyFont="1" applyFill="1" applyBorder="1" applyAlignment="1">
      <alignment horizontal="right" wrapText="1"/>
    </xf>
    <xf numFmtId="0" fontId="6" fillId="21" borderId="60" xfId="0" applyFont="1" applyFill="1" applyBorder="1" applyAlignment="1">
      <alignment horizontal="left" wrapText="1"/>
    </xf>
    <xf numFmtId="3" fontId="6" fillId="21" borderId="60" xfId="0" applyNumberFormat="1" applyFont="1" applyFill="1" applyBorder="1" applyAlignment="1">
      <alignment horizontal="right" wrapText="1"/>
    </xf>
    <xf numFmtId="4" fontId="6" fillId="21" borderId="60" xfId="0" applyNumberFormat="1" applyFont="1" applyFill="1" applyBorder="1" applyAlignment="1">
      <alignment horizontal="right" wrapText="1"/>
    </xf>
    <xf numFmtId="0" fontId="8" fillId="21" borderId="60" xfId="0" applyFont="1" applyFill="1" applyBorder="1" applyAlignment="1">
      <alignment horizontal="right" wrapText="1"/>
    </xf>
    <xf numFmtId="0" fontId="55" fillId="7" borderId="0" xfId="0" applyFont="1" applyFill="1" applyBorder="1" applyAlignment="1">
      <alignment horizontal="right" vertical="top"/>
    </xf>
    <xf numFmtId="0" fontId="6" fillId="6" borderId="0" xfId="0" applyFont="1" applyFill="1" applyAlignment="1">
      <alignment vertical="center"/>
    </xf>
    <xf numFmtId="0" fontId="9" fillId="7" borderId="0" xfId="0" applyFont="1" applyFill="1" applyAlignment="1">
      <alignment vertical="center"/>
    </xf>
    <xf numFmtId="0" fontId="56" fillId="7" borderId="0" xfId="0" applyFont="1" applyFill="1" applyAlignment="1">
      <alignment horizontal="right" vertical="center"/>
    </xf>
    <xf numFmtId="0" fontId="56" fillId="7" borderId="0" xfId="0" applyFont="1" applyFill="1" applyAlignment="1">
      <alignment horizontal="left" vertical="center"/>
    </xf>
    <xf numFmtId="0" fontId="6" fillId="5" borderId="0" xfId="0" applyFont="1" applyFill="1" applyAlignment="1">
      <alignment vertical="center"/>
    </xf>
    <xf numFmtId="0" fontId="6" fillId="0" borderId="0" xfId="0" applyFont="1" applyFill="1"/>
    <xf numFmtId="0" fontId="8" fillId="7" borderId="0" xfId="0" applyFont="1" applyFill="1" applyBorder="1" applyAlignment="1">
      <alignment horizontal="left"/>
    </xf>
    <xf numFmtId="0" fontId="8" fillId="7" borderId="0" xfId="0" applyFont="1" applyFill="1" applyBorder="1"/>
    <xf numFmtId="0" fontId="6" fillId="7" borderId="0" xfId="0" applyFont="1" applyFill="1" applyAlignment="1">
      <alignment horizontal="left" vertical="center"/>
    </xf>
    <xf numFmtId="191" fontId="6" fillId="7" borderId="60" xfId="0" applyNumberFormat="1" applyFont="1" applyFill="1" applyBorder="1"/>
    <xf numFmtId="191" fontId="6" fillId="7" borderId="0" xfId="0" applyNumberFormat="1" applyFont="1" applyFill="1" applyBorder="1"/>
    <xf numFmtId="191" fontId="6" fillId="7" borderId="54" xfId="0" applyNumberFormat="1" applyFont="1" applyFill="1" applyBorder="1"/>
    <xf numFmtId="0" fontId="14" fillId="7" borderId="60" xfId="0" applyFont="1" applyFill="1" applyBorder="1" applyAlignment="1">
      <alignment vertical="center"/>
    </xf>
    <xf numFmtId="0" fontId="6" fillId="7" borderId="60" xfId="0" applyFont="1" applyFill="1" applyBorder="1" applyAlignment="1">
      <alignment vertical="center"/>
    </xf>
    <xf numFmtId="0" fontId="8" fillId="7" borderId="60" xfId="0" applyFont="1" applyFill="1" applyBorder="1" applyAlignment="1">
      <alignment vertical="center"/>
    </xf>
    <xf numFmtId="198" fontId="6" fillId="0" borderId="67" xfId="4" applyNumberFormat="1" applyFont="1" applyBorder="1" applyProtection="1">
      <protection locked="0"/>
    </xf>
    <xf numFmtId="0" fontId="67" fillId="7" borderId="0" xfId="4" applyFont="1" applyFill="1"/>
    <xf numFmtId="0" fontId="67" fillId="7" borderId="0" xfId="4" applyFont="1" applyFill="1" applyAlignment="1">
      <alignment vertical="top" wrapText="1"/>
    </xf>
    <xf numFmtId="0" fontId="8" fillId="7" borderId="57" xfId="0" applyFont="1" applyFill="1" applyBorder="1" applyAlignment="1">
      <alignment horizontal="right"/>
    </xf>
    <xf numFmtId="0" fontId="8" fillId="7" borderId="54" xfId="0" applyFont="1" applyFill="1" applyBorder="1" applyAlignment="1">
      <alignment horizontal="right"/>
    </xf>
    <xf numFmtId="0" fontId="8" fillId="7" borderId="56" xfId="0" applyFont="1" applyFill="1" applyBorder="1" applyAlignment="1">
      <alignment horizontal="right"/>
    </xf>
    <xf numFmtId="0" fontId="0" fillId="22" borderId="0" xfId="0" applyFill="1"/>
    <xf numFmtId="0" fontId="6" fillId="0" borderId="0" xfId="0" applyFont="1" applyFill="1" applyAlignment="1">
      <alignment horizontal="left"/>
    </xf>
    <xf numFmtId="3" fontId="6" fillId="0" borderId="56" xfId="0" applyNumberFormat="1" applyFont="1" applyFill="1" applyBorder="1"/>
    <xf numFmtId="165" fontId="6" fillId="0" borderId="0" xfId="0" applyNumberFormat="1" applyFont="1" applyFill="1"/>
    <xf numFmtId="2" fontId="6" fillId="0" borderId="0" xfId="0" applyNumberFormat="1" applyFont="1" applyFill="1"/>
    <xf numFmtId="0" fontId="8" fillId="0" borderId="0" xfId="0" applyFont="1" applyFill="1" applyAlignment="1">
      <alignment horizontal="left"/>
    </xf>
    <xf numFmtId="0" fontId="8" fillId="0" borderId="56" xfId="0" applyFont="1" applyFill="1" applyBorder="1"/>
    <xf numFmtId="0" fontId="8" fillId="0" borderId="0" xfId="0" applyFont="1" applyFill="1"/>
    <xf numFmtId="0" fontId="8" fillId="0" borderId="0" xfId="0" applyFont="1" applyFill="1" applyAlignment="1">
      <alignment horizontal="right"/>
    </xf>
    <xf numFmtId="0" fontId="6" fillId="0" borderId="56" xfId="0" applyFont="1" applyFill="1" applyBorder="1"/>
    <xf numFmtId="1" fontId="6" fillId="0" borderId="56" xfId="0" applyNumberFormat="1" applyFont="1" applyFill="1" applyBorder="1"/>
    <xf numFmtId="0" fontId="8" fillId="0" borderId="63" xfId="0" applyFont="1" applyFill="1" applyBorder="1" applyAlignment="1">
      <alignment horizontal="right"/>
    </xf>
    <xf numFmtId="3" fontId="6" fillId="7" borderId="0" xfId="0" applyNumberFormat="1" applyFont="1" applyFill="1" applyBorder="1"/>
    <xf numFmtId="165" fontId="6" fillId="7" borderId="0" xfId="0" applyNumberFormat="1" applyFont="1" applyFill="1" applyBorder="1"/>
    <xf numFmtId="2" fontId="6" fillId="7" borderId="0" xfId="0" applyNumberFormat="1" applyFont="1" applyFill="1" applyBorder="1"/>
    <xf numFmtId="0" fontId="71" fillId="19" borderId="48" xfId="4" applyFont="1" applyFill="1" applyBorder="1" applyProtection="1">
      <protection locked="0"/>
    </xf>
    <xf numFmtId="165" fontId="71" fillId="0" borderId="48" xfId="4" applyNumberFormat="1" applyFont="1" applyBorder="1" applyProtection="1">
      <protection locked="0"/>
    </xf>
    <xf numFmtId="0" fontId="69" fillId="7" borderId="0" xfId="4" applyFont="1" applyFill="1"/>
    <xf numFmtId="0" fontId="69" fillId="7" borderId="0" xfId="4" applyFont="1" applyFill="1" applyAlignment="1">
      <alignment horizontal="right"/>
    </xf>
    <xf numFmtId="9" fontId="71" fillId="0" borderId="48" xfId="3" applyFont="1" applyBorder="1" applyProtection="1">
      <protection locked="0"/>
    </xf>
    <xf numFmtId="0" fontId="67" fillId="0" borderId="0" xfId="4" applyFont="1" applyFill="1" applyAlignment="1">
      <alignment vertical="top" wrapText="1"/>
    </xf>
    <xf numFmtId="0" fontId="6" fillId="0" borderId="0" xfId="0" applyFont="1" applyFill="1" applyAlignment="1">
      <alignment vertical="center"/>
    </xf>
    <xf numFmtId="0" fontId="71" fillId="7" borderId="0" xfId="4" applyFont="1" applyFill="1"/>
    <xf numFmtId="0" fontId="71" fillId="7" borderId="0" xfId="0" applyFont="1" applyFill="1" applyBorder="1"/>
    <xf numFmtId="1" fontId="71" fillId="0" borderId="48" xfId="4" applyNumberFormat="1" applyFont="1" applyBorder="1" applyProtection="1">
      <protection locked="0"/>
    </xf>
    <xf numFmtId="0" fontId="72" fillId="7" borderId="0" xfId="4" applyFont="1" applyFill="1"/>
    <xf numFmtId="9" fontId="72" fillId="7" borderId="0" xfId="0" applyNumberFormat="1" applyFont="1" applyFill="1" applyBorder="1" applyAlignment="1">
      <alignment horizontal="right" vertical="top"/>
    </xf>
    <xf numFmtId="2" fontId="8" fillId="7" borderId="0" xfId="0" applyNumberFormat="1" applyFont="1" applyFill="1"/>
    <xf numFmtId="1" fontId="6" fillId="7" borderId="55" xfId="0" applyNumberFormat="1" applyFont="1" applyFill="1" applyBorder="1"/>
    <xf numFmtId="0" fontId="6" fillId="7" borderId="56" xfId="0" applyFont="1" applyFill="1" applyBorder="1" applyAlignment="1">
      <alignment vertical="center"/>
    </xf>
    <xf numFmtId="164" fontId="6" fillId="0" borderId="0" xfId="3" applyNumberFormat="1" applyFont="1" applyFill="1" applyBorder="1" applyAlignment="1" applyProtection="1">
      <alignment vertical="center"/>
      <protection locked="0"/>
    </xf>
    <xf numFmtId="198" fontId="6" fillId="0" borderId="0" xfId="4" applyNumberFormat="1" applyFont="1" applyBorder="1" applyAlignment="1" applyProtection="1">
      <alignment vertical="center"/>
      <protection locked="0"/>
    </xf>
    <xf numFmtId="164" fontId="6" fillId="7" borderId="0" xfId="3" applyNumberFormat="1" applyFont="1" applyFill="1" applyBorder="1" applyAlignment="1" applyProtection="1">
      <alignment horizontal="right" vertical="center"/>
      <protection locked="0"/>
    </xf>
    <xf numFmtId="164" fontId="6" fillId="7" borderId="0" xfId="3" applyNumberFormat="1" applyFont="1" applyFill="1" applyBorder="1" applyAlignment="1" applyProtection="1">
      <alignment horizontal="left" vertical="center"/>
      <protection locked="0"/>
    </xf>
    <xf numFmtId="198" fontId="6" fillId="7" borderId="0" xfId="3" applyNumberFormat="1" applyFont="1" applyFill="1" applyBorder="1" applyAlignment="1" applyProtection="1">
      <alignment horizontal="left" vertical="center"/>
      <protection locked="0"/>
    </xf>
    <xf numFmtId="0" fontId="2" fillId="2" borderId="0" xfId="0" applyFont="1" applyFill="1"/>
    <xf numFmtId="190" fontId="27" fillId="2" borderId="0" xfId="0" applyNumberFormat="1" applyFont="1" applyFill="1"/>
    <xf numFmtId="2" fontId="27" fillId="2" borderId="0" xfId="0" applyNumberFormat="1" applyFont="1" applyFill="1"/>
    <xf numFmtId="1" fontId="27" fillId="2" borderId="0" xfId="0" applyNumberFormat="1" applyFont="1" applyFill="1"/>
    <xf numFmtId="0" fontId="27" fillId="2" borderId="0" xfId="0" applyFont="1" applyFill="1" applyAlignment="1">
      <alignment horizontal="right"/>
    </xf>
    <xf numFmtId="1" fontId="8" fillId="7" borderId="56" xfId="0" applyNumberFormat="1" applyFont="1" applyFill="1" applyBorder="1"/>
    <xf numFmtId="1" fontId="8" fillId="7" borderId="57" xfId="0" applyNumberFormat="1" applyFont="1" applyFill="1" applyBorder="1"/>
    <xf numFmtId="2" fontId="8" fillId="7" borderId="54" xfId="0" applyNumberFormat="1" applyFont="1" applyFill="1" applyBorder="1"/>
    <xf numFmtId="190" fontId="8" fillId="7" borderId="0" xfId="0" applyNumberFormat="1" applyFont="1" applyFill="1"/>
    <xf numFmtId="190" fontId="8" fillId="7" borderId="54" xfId="0" applyNumberFormat="1" applyFont="1" applyFill="1" applyBorder="1"/>
    <xf numFmtId="0" fontId="2" fillId="0" borderId="0" xfId="0" applyFont="1" applyFill="1"/>
    <xf numFmtId="9" fontId="0" fillId="0" borderId="0" xfId="0" applyNumberFormat="1"/>
    <xf numFmtId="0" fontId="27" fillId="0" borderId="69" xfId="0" applyFont="1" applyBorder="1"/>
    <xf numFmtId="3" fontId="0" fillId="7" borderId="70" xfId="0" applyNumberFormat="1" applyFill="1" applyBorder="1"/>
    <xf numFmtId="4" fontId="0" fillId="7" borderId="70" xfId="0" applyNumberFormat="1" applyFill="1" applyBorder="1"/>
    <xf numFmtId="199" fontId="0" fillId="7" borderId="70" xfId="0" applyNumberFormat="1" applyFill="1" applyBorder="1"/>
    <xf numFmtId="0" fontId="0" fillId="23" borderId="0" xfId="0" applyFill="1"/>
    <xf numFmtId="0" fontId="2" fillId="7" borderId="70" xfId="0" applyFont="1" applyFill="1" applyBorder="1"/>
    <xf numFmtId="9" fontId="0" fillId="7" borderId="70" xfId="0" applyNumberFormat="1" applyFill="1" applyBorder="1"/>
    <xf numFmtId="3" fontId="0" fillId="0" borderId="0" xfId="0" applyNumberFormat="1" applyFill="1"/>
    <xf numFmtId="3" fontId="0" fillId="2" borderId="0" xfId="0" applyNumberFormat="1" applyFill="1"/>
    <xf numFmtId="190" fontId="0" fillId="0" borderId="0" xfId="0" applyNumberFormat="1" applyFill="1"/>
    <xf numFmtId="190" fontId="0" fillId="2" borderId="0" xfId="0" applyNumberFormat="1" applyFill="1"/>
    <xf numFmtId="2" fontId="0" fillId="0" borderId="0" xfId="0" applyNumberFormat="1" applyFill="1"/>
    <xf numFmtId="2" fontId="0" fillId="2" borderId="0" xfId="0" applyNumberFormat="1" applyFill="1"/>
    <xf numFmtId="1" fontId="0" fillId="2" borderId="0" xfId="0" applyNumberFormat="1" applyFill="1"/>
    <xf numFmtId="4" fontId="6" fillId="7" borderId="0" xfId="0" applyNumberFormat="1" applyFont="1" applyFill="1" applyBorder="1"/>
    <xf numFmtId="199" fontId="6" fillId="7" borderId="0" xfId="0" applyNumberFormat="1" applyFont="1" applyFill="1" applyBorder="1"/>
    <xf numFmtId="0" fontId="8" fillId="7" borderId="68" xfId="0" applyFont="1" applyFill="1" applyBorder="1"/>
    <xf numFmtId="0" fontId="8" fillId="7" borderId="66" xfId="0" applyFont="1" applyFill="1" applyBorder="1"/>
    <xf numFmtId="0" fontId="8" fillId="7" borderId="71" xfId="0" applyFont="1" applyFill="1" applyBorder="1" applyAlignment="1">
      <alignment horizontal="left"/>
    </xf>
    <xf numFmtId="4" fontId="6" fillId="7" borderId="0" xfId="0" applyNumberFormat="1" applyFont="1" applyFill="1"/>
    <xf numFmtId="4" fontId="8" fillId="7" borderId="0" xfId="0" applyNumberFormat="1" applyFont="1" applyFill="1" applyBorder="1"/>
    <xf numFmtId="190" fontId="6" fillId="7" borderId="0" xfId="0" applyNumberFormat="1" applyFont="1" applyFill="1"/>
    <xf numFmtId="3" fontId="8" fillId="7" borderId="68" xfId="0" applyNumberFormat="1" applyFont="1" applyFill="1" applyBorder="1"/>
    <xf numFmtId="4" fontId="8" fillId="7" borderId="66" xfId="0" applyNumberFormat="1" applyFont="1" applyFill="1" applyBorder="1"/>
    <xf numFmtId="3" fontId="8" fillId="7" borderId="66" xfId="0" applyNumberFormat="1" applyFont="1" applyFill="1" applyBorder="1"/>
    <xf numFmtId="199" fontId="8" fillId="7" borderId="66" xfId="0" applyNumberFormat="1" applyFont="1" applyFill="1" applyBorder="1"/>
    <xf numFmtId="0" fontId="46" fillId="0" borderId="69" xfId="0" applyFont="1" applyBorder="1"/>
    <xf numFmtId="0" fontId="2" fillId="0" borderId="0" xfId="0" quotePrefix="1" applyFont="1"/>
    <xf numFmtId="190" fontId="6" fillId="7" borderId="0" xfId="0" applyNumberFormat="1" applyFont="1" applyFill="1" applyAlignment="1">
      <alignment horizontal="left" vertical="center"/>
    </xf>
    <xf numFmtId="3" fontId="6" fillId="7" borderId="68" xfId="0" applyNumberFormat="1" applyFont="1" applyFill="1" applyBorder="1"/>
    <xf numFmtId="0" fontId="6" fillId="7" borderId="66" xfId="0" applyFont="1" applyFill="1" applyBorder="1"/>
    <xf numFmtId="165" fontId="6" fillId="7" borderId="66" xfId="0" applyNumberFormat="1" applyFont="1" applyFill="1" applyBorder="1"/>
    <xf numFmtId="1" fontId="6" fillId="7" borderId="56" xfId="0" applyNumberFormat="1" applyFont="1" applyFill="1" applyBorder="1" applyAlignment="1">
      <alignment vertical="center"/>
    </xf>
    <xf numFmtId="2" fontId="6" fillId="7" borderId="0" xfId="0" applyNumberFormat="1" applyFont="1" applyFill="1" applyAlignment="1">
      <alignment vertical="center"/>
    </xf>
    <xf numFmtId="165" fontId="6" fillId="7" borderId="0" xfId="0" applyNumberFormat="1" applyFont="1" applyFill="1" applyAlignment="1">
      <alignment vertical="center"/>
    </xf>
    <xf numFmtId="4" fontId="2" fillId="0" borderId="0" xfId="5" applyNumberFormat="1"/>
    <xf numFmtId="191" fontId="0" fillId="21" borderId="60" xfId="0" applyNumberFormat="1" applyFill="1" applyBorder="1"/>
    <xf numFmtId="191" fontId="0" fillId="21" borderId="0" xfId="0" applyNumberFormat="1" applyFill="1" applyBorder="1"/>
    <xf numFmtId="0" fontId="8" fillId="7" borderId="66" xfId="0" applyFont="1" applyFill="1" applyBorder="1" applyProtection="1">
      <protection locked="0"/>
    </xf>
    <xf numFmtId="0" fontId="8" fillId="7" borderId="0" xfId="0" applyFont="1" applyFill="1" applyBorder="1" applyAlignment="1" applyProtection="1">
      <alignment horizontal="center"/>
      <protection locked="0"/>
    </xf>
    <xf numFmtId="0" fontId="0" fillId="23" borderId="0" xfId="0" applyFill="1" applyBorder="1" applyAlignment="1" applyProtection="1">
      <alignment vertical="center"/>
      <protection locked="0"/>
    </xf>
    <xf numFmtId="9" fontId="0" fillId="0" borderId="0" xfId="3" applyFont="1" applyFill="1" applyBorder="1" applyAlignment="1" applyProtection="1">
      <alignment vertical="center"/>
      <protection locked="0"/>
    </xf>
    <xf numFmtId="9" fontId="0" fillId="2" borderId="0" xfId="3" applyFont="1" applyFill="1" applyBorder="1" applyAlignment="1" applyProtection="1">
      <alignment vertical="center"/>
      <protection locked="0"/>
    </xf>
    <xf numFmtId="0" fontId="7" fillId="7" borderId="60" xfId="4" applyFont="1" applyFill="1" applyBorder="1"/>
    <xf numFmtId="0" fontId="69" fillId="7" borderId="60" xfId="4" applyFont="1" applyFill="1" applyBorder="1"/>
    <xf numFmtId="0" fontId="55" fillId="7" borderId="60" xfId="4" applyFont="1" applyFill="1" applyBorder="1"/>
    <xf numFmtId="165" fontId="69" fillId="7" borderId="60" xfId="3" applyNumberFormat="1" applyFont="1" applyFill="1" applyBorder="1" applyAlignment="1"/>
    <xf numFmtId="0" fontId="8" fillId="7" borderId="60" xfId="4" applyFont="1" applyFill="1" applyBorder="1"/>
    <xf numFmtId="0" fontId="69" fillId="7" borderId="60" xfId="4" applyFont="1" applyFill="1" applyBorder="1" applyAlignment="1">
      <alignment horizontal="right"/>
    </xf>
    <xf numFmtId="165" fontId="0" fillId="22" borderId="0" xfId="0" applyNumberFormat="1" applyFill="1"/>
    <xf numFmtId="4" fontId="6" fillId="21" borderId="0" xfId="0" applyNumberFormat="1" applyFont="1" applyFill="1" applyBorder="1" applyAlignment="1">
      <alignment horizontal="right" wrapText="1"/>
    </xf>
    <xf numFmtId="0" fontId="0" fillId="0" borderId="0" xfId="0" applyFill="1" applyBorder="1" applyProtection="1">
      <protection locked="0"/>
    </xf>
    <xf numFmtId="0" fontId="0" fillId="2" borderId="0" xfId="0" applyFill="1" applyBorder="1" applyProtection="1">
      <protection locked="0"/>
    </xf>
    <xf numFmtId="0" fontId="55" fillId="7" borderId="0" xfId="0" applyFont="1" applyFill="1" applyBorder="1" applyAlignment="1">
      <alignment vertical="center" wrapText="1"/>
    </xf>
    <xf numFmtId="0" fontId="6" fillId="21" borderId="0" xfId="0" applyFont="1" applyFill="1" applyAlignment="1">
      <alignment horizontal="left" wrapText="1"/>
    </xf>
    <xf numFmtId="191" fontId="6" fillId="21" borderId="0" xfId="0" applyNumberFormat="1" applyFont="1" applyFill="1" applyBorder="1" applyAlignment="1">
      <alignment horizontal="right" wrapText="1"/>
    </xf>
    <xf numFmtId="0" fontId="8" fillId="20" borderId="0" xfId="0" applyFont="1" applyFill="1" applyBorder="1" applyAlignment="1">
      <alignment horizontal="right" wrapText="1"/>
    </xf>
    <xf numFmtId="0" fontId="8" fillId="21" borderId="0" xfId="0" applyFont="1" applyFill="1" applyBorder="1" applyAlignment="1">
      <alignment horizontal="right" wrapText="1"/>
    </xf>
    <xf numFmtId="0" fontId="69" fillId="21" borderId="0" xfId="0" applyFont="1" applyFill="1" applyBorder="1" applyAlignment="1">
      <alignment horizontal="right" wrapText="1"/>
    </xf>
    <xf numFmtId="4" fontId="6" fillId="21" borderId="60" xfId="0" applyNumberFormat="1" applyFont="1" applyFill="1" applyBorder="1" applyAlignment="1">
      <alignment horizontal="right" wrapText="1"/>
    </xf>
    <xf numFmtId="191" fontId="6" fillId="21" borderId="60" xfId="0" applyNumberFormat="1" applyFont="1" applyFill="1" applyBorder="1" applyAlignment="1">
      <alignment horizontal="right" wrapText="1"/>
    </xf>
    <xf numFmtId="0" fontId="6" fillId="0" borderId="0" xfId="4" applyFont="1" applyBorder="1" applyAlignment="1" applyProtection="1">
      <alignment vertical="center"/>
      <protection locked="0"/>
    </xf>
    <xf numFmtId="0" fontId="69" fillId="21" borderId="0" xfId="0" applyFont="1" applyFill="1" applyBorder="1" applyAlignment="1">
      <alignment horizontal="left" wrapText="1"/>
    </xf>
    <xf numFmtId="0" fontId="6" fillId="21" borderId="60" xfId="0" applyFont="1" applyFill="1" applyBorder="1" applyAlignment="1">
      <alignment horizontal="left" wrapText="1"/>
    </xf>
    <xf numFmtId="0" fontId="71" fillId="0" borderId="49" xfId="4" applyFont="1" applyBorder="1" applyProtection="1">
      <protection locked="0"/>
    </xf>
    <xf numFmtId="0" fontId="71" fillId="0" borderId="50" xfId="4" applyFont="1" applyBorder="1" applyProtection="1">
      <protection locked="0"/>
    </xf>
    <xf numFmtId="0" fontId="67" fillId="7" borderId="0" xfId="4" applyFont="1" applyFill="1" applyAlignment="1">
      <alignment vertical="top" wrapText="1"/>
    </xf>
    <xf numFmtId="14" fontId="56" fillId="7" borderId="0" xfId="0" applyNumberFormat="1" applyFont="1" applyFill="1" applyAlignment="1">
      <alignment horizontal="right" vertical="center"/>
    </xf>
    <xf numFmtId="0" fontId="71" fillId="19" borderId="49" xfId="4" applyFont="1" applyFill="1" applyBorder="1" applyProtection="1">
      <protection locked="0"/>
    </xf>
    <xf numFmtId="0" fontId="71" fillId="19" borderId="50" xfId="4" applyFont="1" applyFill="1" applyBorder="1" applyProtection="1">
      <protection locked="0"/>
    </xf>
    <xf numFmtId="0" fontId="6" fillId="0" borderId="0" xfId="4" applyFont="1" applyProtection="1">
      <protection locked="0"/>
    </xf>
    <xf numFmtId="0" fontId="57" fillId="7" borderId="55" xfId="0" applyFont="1" applyFill="1" applyBorder="1" applyAlignment="1">
      <alignment horizontal="left" vertical="top"/>
    </xf>
    <xf numFmtId="0" fontId="57" fillId="7" borderId="60" xfId="0" applyFont="1" applyFill="1" applyBorder="1" applyAlignment="1">
      <alignment horizontal="left" vertical="top"/>
    </xf>
    <xf numFmtId="0" fontId="2" fillId="5" borderId="58" xfId="5" applyFill="1" applyBorder="1" applyAlignment="1">
      <alignment horizontal="left" vertical="center" wrapText="1"/>
    </xf>
    <xf numFmtId="0" fontId="2" fillId="5" borderId="65" xfId="5" applyFill="1" applyBorder="1" applyAlignment="1">
      <alignment horizontal="left" vertical="center" wrapText="1"/>
    </xf>
    <xf numFmtId="0" fontId="2" fillId="5" borderId="59" xfId="5" applyFill="1" applyBorder="1" applyAlignment="1">
      <alignment horizontal="left" vertical="center" wrapText="1"/>
    </xf>
    <xf numFmtId="0" fontId="2" fillId="5" borderId="58" xfId="5" applyFill="1" applyBorder="1" applyAlignment="1">
      <alignment horizontal="center" vertical="center" wrapText="1"/>
    </xf>
    <xf numFmtId="0" fontId="2" fillId="5" borderId="65" xfId="5" applyFill="1" applyBorder="1" applyAlignment="1">
      <alignment horizontal="center" vertical="center" wrapText="1"/>
    </xf>
    <xf numFmtId="0" fontId="2" fillId="5" borderId="59" xfId="5" applyFill="1" applyBorder="1" applyAlignment="1">
      <alignment horizontal="center" vertical="center" wrapText="1"/>
    </xf>
    <xf numFmtId="0" fontId="60" fillId="5" borderId="58" xfId="5" applyFont="1" applyFill="1" applyBorder="1" applyAlignment="1">
      <alignment horizontal="center" vertical="center" wrapText="1"/>
    </xf>
    <xf numFmtId="0" fontId="60" fillId="5" borderId="65" xfId="5" applyFont="1" applyFill="1" applyBorder="1" applyAlignment="1">
      <alignment horizontal="center" vertical="center" wrapText="1"/>
    </xf>
    <xf numFmtId="0" fontId="60" fillId="5" borderId="59" xfId="5" applyFont="1" applyFill="1" applyBorder="1" applyAlignment="1">
      <alignment horizontal="center" vertical="center" wrapText="1"/>
    </xf>
    <xf numFmtId="0" fontId="58" fillId="5" borderId="58" xfId="5" applyFont="1" applyFill="1" applyBorder="1" applyAlignment="1">
      <alignment horizontal="center" vertical="center" wrapText="1"/>
    </xf>
    <xf numFmtId="0" fontId="58" fillId="5" borderId="65" xfId="5" applyFont="1" applyFill="1" applyBorder="1" applyAlignment="1">
      <alignment horizontal="center" vertical="center" wrapText="1"/>
    </xf>
    <xf numFmtId="0" fontId="58" fillId="5" borderId="59" xfId="5" applyFont="1" applyFill="1" applyBorder="1" applyAlignment="1">
      <alignment horizontal="center" vertical="center" wrapText="1"/>
    </xf>
    <xf numFmtId="0" fontId="2" fillId="12" borderId="58" xfId="5" applyFill="1" applyBorder="1" applyAlignment="1">
      <alignment horizontal="center" vertical="center" wrapText="1"/>
    </xf>
    <xf numFmtId="0" fontId="2" fillId="12" borderId="65" xfId="5" applyFill="1" applyBorder="1" applyAlignment="1">
      <alignment horizontal="center" vertical="center" wrapText="1"/>
    </xf>
    <xf numFmtId="0" fontId="2" fillId="12" borderId="59" xfId="5" applyFill="1" applyBorder="1" applyAlignment="1">
      <alignment horizontal="center" vertical="center" wrapText="1"/>
    </xf>
    <xf numFmtId="0" fontId="29" fillId="5" borderId="35" xfId="52" applyFont="1" applyFill="1" applyBorder="1" applyAlignment="1">
      <alignment horizontal="center" vertical="center" wrapText="1"/>
    </xf>
    <xf numFmtId="0" fontId="29" fillId="5" borderId="36" xfId="52" applyFont="1" applyFill="1" applyBorder="1" applyAlignment="1">
      <alignment horizontal="center" vertical="center" wrapText="1"/>
    </xf>
    <xf numFmtId="0" fontId="29" fillId="5" borderId="37" xfId="52" applyFont="1" applyFill="1" applyBorder="1" applyAlignment="1">
      <alignment horizontal="center" vertical="center" wrapText="1"/>
    </xf>
    <xf numFmtId="0" fontId="29" fillId="5" borderId="8" xfId="52" applyFont="1" applyFill="1" applyBorder="1" applyAlignment="1">
      <alignment horizontal="center" vertical="center" wrapText="1"/>
    </xf>
    <xf numFmtId="0" fontId="29" fillId="5" borderId="0" xfId="52" applyFont="1" applyFill="1" applyAlignment="1">
      <alignment horizontal="center" vertical="center" wrapText="1"/>
    </xf>
    <xf numFmtId="0" fontId="29" fillId="5" borderId="13" xfId="52" applyFont="1" applyFill="1" applyBorder="1" applyAlignment="1">
      <alignment horizontal="center" vertical="center" wrapText="1"/>
    </xf>
    <xf numFmtId="0" fontId="29" fillId="5" borderId="46" xfId="52" applyFont="1" applyFill="1" applyBorder="1" applyAlignment="1">
      <alignment horizontal="center" vertical="center" wrapText="1"/>
    </xf>
    <xf numFmtId="0" fontId="29" fillId="5" borderId="64" xfId="52" applyFont="1" applyFill="1" applyBorder="1" applyAlignment="1">
      <alignment horizontal="center" vertical="center" wrapText="1"/>
    </xf>
    <xf numFmtId="0" fontId="29" fillId="5" borderId="47" xfId="52" applyFont="1" applyFill="1" applyBorder="1" applyAlignment="1">
      <alignment horizontal="center" vertical="center" wrapText="1"/>
    </xf>
    <xf numFmtId="0" fontId="3" fillId="5" borderId="35" xfId="52" applyFont="1" applyFill="1" applyBorder="1" applyAlignment="1">
      <alignment horizontal="center" vertical="center" wrapText="1"/>
    </xf>
    <xf numFmtId="0" fontId="3" fillId="5" borderId="36" xfId="52" applyFont="1" applyFill="1" applyBorder="1" applyAlignment="1">
      <alignment horizontal="center" vertical="center" wrapText="1"/>
    </xf>
    <xf numFmtId="0" fontId="3" fillId="5" borderId="37" xfId="52" applyFont="1" applyFill="1" applyBorder="1" applyAlignment="1">
      <alignment horizontal="center" vertical="center" wrapText="1"/>
    </xf>
    <xf numFmtId="0" fontId="3" fillId="5" borderId="8" xfId="52" applyFont="1" applyFill="1" applyBorder="1" applyAlignment="1">
      <alignment horizontal="center" vertical="center" wrapText="1"/>
    </xf>
    <xf numFmtId="0" fontId="3" fillId="5" borderId="0" xfId="52" applyFont="1" applyFill="1" applyAlignment="1">
      <alignment horizontal="center" vertical="center" wrapText="1"/>
    </xf>
    <xf numFmtId="0" fontId="3" fillId="5" borderId="13" xfId="52" applyFont="1" applyFill="1" applyBorder="1" applyAlignment="1">
      <alignment horizontal="center" vertical="center" wrapText="1"/>
    </xf>
    <xf numFmtId="0" fontId="3" fillId="5" borderId="46" xfId="52" applyFont="1" applyFill="1" applyBorder="1" applyAlignment="1">
      <alignment horizontal="center" vertical="center" wrapText="1"/>
    </xf>
    <xf numFmtId="0" fontId="3" fillId="5" borderId="64" xfId="52" applyFont="1" applyFill="1" applyBorder="1" applyAlignment="1">
      <alignment horizontal="center" vertical="center" wrapText="1"/>
    </xf>
    <xf numFmtId="0" fontId="3" fillId="5" borderId="47" xfId="52" applyFont="1" applyFill="1" applyBorder="1" applyAlignment="1">
      <alignment horizontal="center" vertical="center" wrapText="1"/>
    </xf>
    <xf numFmtId="0" fontId="36" fillId="12" borderId="58" xfId="5" applyFont="1" applyFill="1" applyBorder="1" applyAlignment="1">
      <alignment vertical="center" wrapText="1"/>
    </xf>
    <xf numFmtId="0" fontId="36" fillId="12" borderId="65" xfId="5" applyFont="1" applyFill="1" applyBorder="1" applyAlignment="1">
      <alignment vertical="center" wrapText="1"/>
    </xf>
    <xf numFmtId="0" fontId="36" fillId="12" borderId="59" xfId="5" applyFont="1" applyFill="1" applyBorder="1" applyAlignment="1">
      <alignment vertical="center" wrapText="1"/>
    </xf>
    <xf numFmtId="11" fontId="29" fillId="5" borderId="32" xfId="0" applyNumberFormat="1"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2" fontId="2" fillId="5" borderId="58" xfId="5" applyNumberFormat="1" applyFill="1" applyBorder="1" applyAlignment="1">
      <alignment horizontal="center" vertical="center" wrapText="1"/>
    </xf>
    <xf numFmtId="2" fontId="2" fillId="5" borderId="65" xfId="5" applyNumberFormat="1" applyFill="1" applyBorder="1" applyAlignment="1">
      <alignment horizontal="center" vertical="center" wrapText="1"/>
    </xf>
    <xf numFmtId="2" fontId="2" fillId="5" borderId="59" xfId="5" applyNumberFormat="1" applyFill="1" applyBorder="1" applyAlignment="1">
      <alignment horizontal="center" vertical="center" wrapText="1"/>
    </xf>
    <xf numFmtId="0" fontId="30" fillId="5" borderId="12" xfId="0" applyFont="1" applyFill="1" applyBorder="1" applyAlignment="1">
      <alignment horizontal="center" vertical="top"/>
    </xf>
    <xf numFmtId="0" fontId="2" fillId="5" borderId="39" xfId="0" applyFont="1" applyFill="1" applyBorder="1" applyAlignment="1">
      <alignment horizontal="center" vertical="top"/>
    </xf>
    <xf numFmtId="0" fontId="2" fillId="5" borderId="40" xfId="0" applyFont="1" applyFill="1" applyBorder="1" applyAlignment="1">
      <alignment horizontal="center" vertical="top"/>
    </xf>
    <xf numFmtId="11" fontId="30" fillId="5" borderId="42" xfId="0" applyNumberFormat="1" applyFont="1" applyFill="1" applyBorder="1" applyAlignment="1">
      <alignment horizontal="center" vertical="top" wrapText="1"/>
    </xf>
    <xf numFmtId="0" fontId="2" fillId="5" borderId="42" xfId="0" applyFont="1" applyFill="1" applyBorder="1" applyAlignment="1">
      <alignment horizontal="center" vertical="top" wrapText="1"/>
    </xf>
    <xf numFmtId="11" fontId="30" fillId="5" borderId="43" xfId="0" applyNumberFormat="1" applyFont="1" applyFill="1" applyBorder="1" applyAlignment="1">
      <alignment horizontal="center" vertical="top" wrapText="1"/>
    </xf>
    <xf numFmtId="0" fontId="2" fillId="5" borderId="44" xfId="0" applyFont="1" applyFill="1" applyBorder="1" applyAlignment="1">
      <alignment horizontal="center" vertical="top" wrapText="1"/>
    </xf>
    <xf numFmtId="0" fontId="2" fillId="5" borderId="45" xfId="0" applyFont="1" applyFill="1" applyBorder="1" applyAlignment="1">
      <alignment horizontal="center" vertical="top" wrapText="1"/>
    </xf>
    <xf numFmtId="11" fontId="29" fillId="5" borderId="21" xfId="0" applyNumberFormat="1" applyFont="1" applyFill="1" applyBorder="1" applyAlignment="1">
      <alignment horizontal="center" vertical="top" wrapText="1"/>
    </xf>
    <xf numFmtId="0" fontId="2" fillId="5" borderId="21" xfId="0" applyFont="1" applyFill="1" applyBorder="1" applyAlignment="1">
      <alignment horizontal="center" vertical="top" wrapText="1"/>
    </xf>
    <xf numFmtId="0" fontId="30" fillId="6" borderId="24" xfId="52" applyFont="1" applyFill="1" applyBorder="1" applyAlignment="1">
      <alignment horizontal="center" vertical="top" wrapText="1"/>
    </xf>
    <xf numFmtId="0" fontId="29" fillId="6" borderId="17" xfId="52" applyFont="1" applyFill="1" applyBorder="1" applyAlignment="1">
      <alignment horizontal="center" vertical="top" wrapText="1"/>
    </xf>
    <xf numFmtId="0" fontId="30" fillId="6" borderId="15" xfId="52" applyFont="1" applyFill="1" applyBorder="1" applyAlignment="1">
      <alignment horizontal="center" vertical="top" wrapText="1"/>
    </xf>
    <xf numFmtId="0" fontId="2" fillId="6" borderId="15" xfId="52" applyFill="1" applyBorder="1" applyAlignment="1">
      <alignment horizontal="center" vertical="top" wrapText="1"/>
    </xf>
    <xf numFmtId="11" fontId="28" fillId="5" borderId="29" xfId="0" applyNumberFormat="1" applyFont="1" applyFill="1" applyBorder="1" applyAlignment="1">
      <alignment vertical="center" wrapText="1"/>
    </xf>
    <xf numFmtId="0" fontId="2" fillId="5" borderId="38" xfId="0" applyFont="1" applyFill="1" applyBorder="1" applyAlignment="1">
      <alignment vertical="center" wrapText="1"/>
    </xf>
    <xf numFmtId="0" fontId="2" fillId="5" borderId="41" xfId="0" applyFont="1" applyFill="1" applyBorder="1" applyAlignment="1">
      <alignment vertical="center" wrapText="1"/>
    </xf>
    <xf numFmtId="11" fontId="29" fillId="9" borderId="32" xfId="0" applyNumberFormat="1" applyFont="1" applyFill="1" applyBorder="1" applyAlignment="1">
      <alignment horizontal="center" vertical="center" wrapText="1"/>
    </xf>
    <xf numFmtId="0" fontId="2" fillId="9" borderId="33" xfId="0" applyFont="1" applyFill="1" applyBorder="1" applyAlignment="1">
      <alignment horizontal="center" vertical="center" wrapText="1"/>
    </xf>
    <xf numFmtId="0" fontId="2" fillId="9" borderId="34" xfId="0" applyFont="1" applyFill="1" applyBorder="1" applyAlignment="1">
      <alignment horizontal="center" vertical="center" wrapText="1"/>
    </xf>
    <xf numFmtId="11" fontId="29" fillId="5" borderId="35" xfId="0" applyNumberFormat="1" applyFont="1" applyFill="1" applyBorder="1" applyAlignment="1">
      <alignment horizontal="center" vertical="top" wrapText="1"/>
    </xf>
    <xf numFmtId="11" fontId="29" fillId="5" borderId="36" xfId="0" applyNumberFormat="1" applyFont="1" applyFill="1" applyBorder="1" applyAlignment="1">
      <alignment horizontal="center" vertical="top" wrapText="1"/>
    </xf>
    <xf numFmtId="11" fontId="29" fillId="5" borderId="37" xfId="0" applyNumberFormat="1" applyFont="1" applyFill="1" applyBorder="1" applyAlignment="1">
      <alignment horizontal="center" vertical="top" wrapText="1"/>
    </xf>
    <xf numFmtId="0" fontId="29" fillId="6" borderId="15" xfId="52" applyFont="1" applyFill="1" applyBorder="1" applyAlignment="1">
      <alignment horizontal="center" vertical="top" wrapText="1"/>
    </xf>
    <xf numFmtId="0" fontId="28" fillId="6" borderId="16" xfId="52" applyFont="1" applyFill="1" applyBorder="1" applyAlignment="1">
      <alignment horizontal="left" vertical="center" wrapText="1"/>
    </xf>
    <xf numFmtId="0" fontId="28" fillId="6" borderId="21" xfId="52" applyFont="1" applyFill="1" applyBorder="1" applyAlignment="1">
      <alignment horizontal="left" vertical="center" wrapText="1"/>
    </xf>
    <xf numFmtId="0" fontId="27" fillId="6" borderId="17" xfId="52" applyFont="1" applyFill="1" applyBorder="1" applyAlignment="1">
      <alignment horizontal="center" wrapText="1"/>
    </xf>
    <xf numFmtId="0" fontId="27" fillId="6" borderId="15" xfId="52" applyFont="1" applyFill="1" applyBorder="1" applyAlignment="1">
      <alignment horizontal="center" wrapText="1"/>
    </xf>
    <xf numFmtId="0" fontId="29" fillId="6" borderId="17" xfId="52" applyFont="1" applyFill="1" applyBorder="1" applyAlignment="1">
      <alignment horizontal="center" vertical="center" textRotation="90" wrapText="1"/>
    </xf>
    <xf numFmtId="0" fontId="29" fillId="6" borderId="15" xfId="52" applyFont="1" applyFill="1" applyBorder="1" applyAlignment="1">
      <alignment horizontal="center" vertical="center" textRotation="90" wrapText="1"/>
    </xf>
    <xf numFmtId="0" fontId="29" fillId="6" borderId="24" xfId="52" applyFont="1" applyFill="1" applyBorder="1" applyAlignment="1">
      <alignment horizontal="center" vertical="center" textRotation="90" wrapText="1"/>
    </xf>
    <xf numFmtId="0" fontId="29" fillId="9" borderId="17" xfId="52" applyFont="1" applyFill="1" applyBorder="1" applyAlignment="1">
      <alignment horizontal="center" vertical="center" wrapText="1"/>
    </xf>
    <xf numFmtId="0" fontId="29" fillId="6" borderId="18" xfId="52" applyFont="1" applyFill="1" applyBorder="1" applyAlignment="1">
      <alignment horizontal="center" vertical="top" wrapText="1"/>
    </xf>
    <xf numFmtId="0" fontId="29" fillId="6" borderId="19" xfId="52" applyFont="1" applyFill="1" applyBorder="1" applyAlignment="1">
      <alignment horizontal="center" vertical="top" wrapText="1"/>
    </xf>
    <xf numFmtId="0" fontId="29" fillId="6" borderId="20" xfId="52" applyFont="1" applyFill="1" applyBorder="1" applyAlignment="1">
      <alignment horizontal="center" vertical="top" wrapText="1"/>
    </xf>
    <xf numFmtId="0" fontId="29" fillId="6" borderId="15" xfId="52" applyFont="1" applyFill="1" applyBorder="1" applyAlignment="1">
      <alignment horizontal="center" wrapText="1"/>
    </xf>
    <xf numFmtId="0" fontId="28" fillId="5" borderId="16" xfId="0" applyFont="1" applyFill="1" applyBorder="1" applyAlignment="1">
      <alignment vertical="center" wrapText="1"/>
    </xf>
    <xf numFmtId="0" fontId="28" fillId="5" borderId="21" xfId="0" applyFont="1" applyFill="1" applyBorder="1" applyAlignment="1">
      <alignment vertical="center" wrapText="1"/>
    </xf>
    <xf numFmtId="0" fontId="29" fillId="5" borderId="58" xfId="0" applyFont="1" applyFill="1" applyBorder="1" applyAlignment="1">
      <alignment horizontal="center" vertical="center" wrapText="1"/>
    </xf>
    <xf numFmtId="0" fontId="29" fillId="5" borderId="59" xfId="0" applyFont="1" applyFill="1" applyBorder="1" applyAlignment="1">
      <alignment horizontal="center" vertical="center" wrapText="1"/>
    </xf>
    <xf numFmtId="0" fontId="29" fillId="5" borderId="35" xfId="0" applyFont="1" applyFill="1" applyBorder="1" applyAlignment="1">
      <alignment horizontal="center" vertical="center" wrapText="1"/>
    </xf>
    <xf numFmtId="0" fontId="29" fillId="5" borderId="36" xfId="0" applyFont="1" applyFill="1" applyBorder="1" applyAlignment="1">
      <alignment horizontal="center" vertical="center" wrapText="1"/>
    </xf>
    <xf numFmtId="0" fontId="29" fillId="5" borderId="37" xfId="0" applyFont="1" applyFill="1" applyBorder="1" applyAlignment="1">
      <alignment horizontal="center" vertical="center" wrapText="1"/>
    </xf>
    <xf numFmtId="0" fontId="3" fillId="5" borderId="21" xfId="52" applyFont="1" applyFill="1" applyBorder="1" applyAlignment="1">
      <alignment vertical="center" wrapText="1"/>
    </xf>
    <xf numFmtId="0" fontId="2" fillId="5" borderId="21" xfId="0" applyFont="1" applyFill="1" applyBorder="1" applyAlignment="1">
      <alignment vertical="center"/>
    </xf>
    <xf numFmtId="0" fontId="3" fillId="6" borderId="21" xfId="52" applyFont="1" applyFill="1" applyBorder="1" applyAlignment="1">
      <alignment wrapText="1"/>
    </xf>
    <xf numFmtId="0" fontId="30" fillId="9" borderId="22" xfId="52" applyFont="1" applyFill="1" applyBorder="1" applyAlignment="1">
      <alignment horizontal="center" vertical="center" wrapText="1"/>
    </xf>
    <xf numFmtId="0" fontId="30" fillId="9" borderId="0" xfId="52" applyFont="1" applyFill="1" applyAlignment="1">
      <alignment horizontal="center" vertical="center" wrapText="1"/>
    </xf>
    <xf numFmtId="0" fontId="30" fillId="9" borderId="14" xfId="52" applyFont="1" applyFill="1" applyBorder="1" applyAlignment="1">
      <alignment horizontal="center" vertical="center" wrapText="1"/>
    </xf>
    <xf numFmtId="0" fontId="30" fillId="9" borderId="9" xfId="52" applyFont="1" applyFill="1" applyBorder="1" applyAlignment="1">
      <alignment horizontal="center" vertical="center" wrapText="1"/>
    </xf>
    <xf numFmtId="0" fontId="30" fillId="9" borderId="10" xfId="52" applyFont="1" applyFill="1" applyBorder="1" applyAlignment="1">
      <alignment horizontal="center" vertical="center" wrapText="1"/>
    </xf>
    <xf numFmtId="0" fontId="30" fillId="9" borderId="23" xfId="52" applyFont="1" applyFill="1" applyBorder="1" applyAlignment="1">
      <alignment horizontal="center" vertical="center" wrapText="1"/>
    </xf>
    <xf numFmtId="0" fontId="3" fillId="5" borderId="21" xfId="52" applyFont="1" applyFill="1" applyBorder="1" applyAlignment="1">
      <alignment wrapText="1"/>
    </xf>
    <xf numFmtId="0" fontId="2" fillId="5" borderId="21" xfId="0" applyFont="1" applyFill="1" applyBorder="1"/>
    <xf numFmtId="11" fontId="30" fillId="9" borderId="8" xfId="0" applyNumberFormat="1" applyFont="1" applyFill="1" applyBorder="1" applyAlignment="1">
      <alignment horizontal="center" vertical="center" wrapText="1"/>
    </xf>
    <xf numFmtId="11" fontId="30" fillId="9" borderId="0" xfId="0" applyNumberFormat="1" applyFont="1" applyFill="1" applyAlignment="1">
      <alignment horizontal="center" vertical="center" wrapText="1"/>
    </xf>
    <xf numFmtId="11" fontId="30" fillId="9" borderId="13" xfId="0" applyNumberFormat="1" applyFont="1" applyFill="1" applyBorder="1" applyAlignment="1">
      <alignment horizontal="center" vertical="center" wrapText="1"/>
    </xf>
  </cellXfs>
  <cellStyles count="73">
    <cellStyle name="2x indented GHG Textfiels" xfId="8" xr:uid="{00000000-0005-0000-0000-000000000000}"/>
    <cellStyle name="5x indented GHG Textfiels" xfId="9" xr:uid="{00000000-0005-0000-0000-000001000000}"/>
    <cellStyle name="Boden" xfId="10" xr:uid="{00000000-0005-0000-0000-000002000000}"/>
    <cellStyle name="Body text" xfId="54" xr:uid="{00000000-0005-0000-0000-000003000000}"/>
    <cellStyle name="Bold GHG Numbers (0.00)" xfId="11" xr:uid="{00000000-0005-0000-0000-000004000000}"/>
    <cellStyle name="CHF" xfId="12" xr:uid="{00000000-0005-0000-0000-000005000000}"/>
    <cellStyle name="Comma [0]_CAS Ciba" xfId="13" xr:uid="{00000000-0005-0000-0000-000006000000}"/>
    <cellStyle name="Comma_CAS Ciba" xfId="14" xr:uid="{00000000-0005-0000-0000-000007000000}"/>
    <cellStyle name="comment" xfId="15" xr:uid="{00000000-0005-0000-0000-000008000000}"/>
    <cellStyle name="Currency [0]_CAS Ciba" xfId="16" xr:uid="{00000000-0005-0000-0000-000009000000}"/>
    <cellStyle name="Currency_CAS Ciba" xfId="17" xr:uid="{00000000-0005-0000-0000-00000A000000}"/>
    <cellStyle name="dt" xfId="18" xr:uid="{00000000-0005-0000-0000-00000B000000}"/>
    <cellStyle name="EcoTitel" xfId="19" xr:uid="{00000000-0005-0000-0000-00000C000000}"/>
    <cellStyle name="EcoZahl" xfId="20" xr:uid="{00000000-0005-0000-0000-00000D000000}"/>
    <cellStyle name="Euro" xfId="21" xr:uid="{00000000-0005-0000-0000-00000E000000}"/>
    <cellStyle name="header" xfId="55" xr:uid="{00000000-0005-0000-0000-00000F000000}"/>
    <cellStyle name="Header Total" xfId="56" xr:uid="{00000000-0005-0000-0000-000010000000}"/>
    <cellStyle name="Headline" xfId="22" xr:uid="{00000000-0005-0000-0000-000011000000}"/>
    <cellStyle name="kg" xfId="23" xr:uid="{00000000-0005-0000-0000-000012000000}"/>
    <cellStyle name="km" xfId="24" xr:uid="{00000000-0005-0000-0000-000013000000}"/>
    <cellStyle name="Komma" xfId="1" builtinId="3"/>
    <cellStyle name="Komma 2" xfId="57" xr:uid="{00000000-0005-0000-0000-000015000000}"/>
    <cellStyle name="Komma 3" xfId="53" xr:uid="{00000000-0005-0000-0000-000016000000}"/>
    <cellStyle name="Komma 3 2" xfId="58" xr:uid="{00000000-0005-0000-0000-000017000000}"/>
    <cellStyle name="Komma 4" xfId="59" xr:uid="{00000000-0005-0000-0000-000018000000}"/>
    <cellStyle name="kWh" xfId="25" xr:uid="{00000000-0005-0000-0000-000019000000}"/>
    <cellStyle name="l" xfId="26" xr:uid="{00000000-0005-0000-0000-00001A000000}"/>
    <cellStyle name="Link" xfId="2" builtinId="8"/>
    <cellStyle name="Luft" xfId="27" xr:uid="{00000000-0005-0000-0000-00001C000000}"/>
    <cellStyle name="m2" xfId="28" xr:uid="{00000000-0005-0000-0000-00001D000000}"/>
    <cellStyle name="m2a" xfId="29" xr:uid="{00000000-0005-0000-0000-00001E000000}"/>
    <cellStyle name="m3" xfId="30" xr:uid="{00000000-0005-0000-0000-00001F000000}"/>
    <cellStyle name="Niels" xfId="31" xr:uid="{00000000-0005-0000-0000-000020000000}"/>
    <cellStyle name="NielsProz" xfId="32" xr:uid="{00000000-0005-0000-0000-000021000000}"/>
    <cellStyle name="NielsProzent" xfId="33" xr:uid="{00000000-0005-0000-0000-000022000000}"/>
    <cellStyle name="Normal GHG Numbers (0.00)" xfId="34" xr:uid="{00000000-0005-0000-0000-000023000000}"/>
    <cellStyle name="Normal GHG Textfiels Bold" xfId="35" xr:uid="{00000000-0005-0000-0000-000024000000}"/>
    <cellStyle name="Normal GHG whole table" xfId="36" xr:uid="{00000000-0005-0000-0000-000025000000}"/>
    <cellStyle name="Normal_CAS Ciba" xfId="37" xr:uid="{00000000-0005-0000-0000-000026000000}"/>
    <cellStyle name="NormalTabelle" xfId="38" xr:uid="{00000000-0005-0000-0000-000027000000}"/>
    <cellStyle name="Prozent" xfId="3" builtinId="5"/>
    <cellStyle name="Prozent 2" xfId="6" xr:uid="{00000000-0005-0000-0000-000029000000}"/>
    <cellStyle name="Prozent 3" xfId="60" xr:uid="{00000000-0005-0000-0000-00002A000000}"/>
    <cellStyle name="Prozent 4" xfId="61" xr:uid="{00000000-0005-0000-0000-00002B000000}"/>
    <cellStyle name="prozent+" xfId="39" xr:uid="{00000000-0005-0000-0000-00002C000000}"/>
    <cellStyle name="Prüfung" xfId="40" xr:uid="{00000000-0005-0000-0000-00002D000000}"/>
    <cellStyle name="Scientific" xfId="62" xr:uid="{00000000-0005-0000-0000-00002E000000}"/>
    <cellStyle name="Sm3" xfId="41" xr:uid="{00000000-0005-0000-0000-00002F000000}"/>
    <cellStyle name="Standard" xfId="0" builtinId="0"/>
    <cellStyle name="Standard 2" xfId="5" xr:uid="{00000000-0005-0000-0000-000031000000}"/>
    <cellStyle name="Standard 2 2" xfId="52" xr:uid="{00000000-0005-0000-0000-000032000000}"/>
    <cellStyle name="Standard 2 3" xfId="63" xr:uid="{00000000-0005-0000-0000-000033000000}"/>
    <cellStyle name="Standard 3" xfId="64" xr:uid="{00000000-0005-0000-0000-000034000000}"/>
    <cellStyle name="Standard 4" xfId="65" xr:uid="{00000000-0005-0000-0000-000035000000}"/>
    <cellStyle name="Standard 5" xfId="66" xr:uid="{00000000-0005-0000-0000-000036000000}"/>
    <cellStyle name="Standard 6" xfId="67" xr:uid="{00000000-0005-0000-0000-000037000000}"/>
    <cellStyle name="Standard 7" xfId="68" xr:uid="{00000000-0005-0000-0000-000038000000}"/>
    <cellStyle name="Standard 8" xfId="69" xr:uid="{00000000-0005-0000-0000-000039000000}"/>
    <cellStyle name="Standard_Mappe2" xfId="4" xr:uid="{00000000-0005-0000-0000-00003A000000}"/>
    <cellStyle name="t" xfId="42" xr:uid="{00000000-0005-0000-0000-00003B000000}"/>
    <cellStyle name="text" xfId="43" xr:uid="{00000000-0005-0000-0000-00003C000000}"/>
    <cellStyle name="Text-Manual" xfId="44" xr:uid="{00000000-0005-0000-0000-00003D000000}"/>
    <cellStyle name="Title" xfId="70" xr:uid="{00000000-0005-0000-0000-00003E000000}"/>
    <cellStyle name="tkm" xfId="45" xr:uid="{00000000-0005-0000-0000-00003F000000}"/>
    <cellStyle name="unit" xfId="46" xr:uid="{00000000-0005-0000-0000-000040000000}"/>
    <cellStyle name="Wasser" xfId="47" xr:uid="{00000000-0005-0000-0000-000041000000}"/>
    <cellStyle name="Wasseremission" xfId="71" xr:uid="{00000000-0005-0000-0000-000042000000}"/>
    <cellStyle name="wis" xfId="48" xr:uid="{00000000-0005-0000-0000-000043000000}"/>
    <cellStyle name="wissenschaft" xfId="7" xr:uid="{00000000-0005-0000-0000-000044000000}"/>
    <cellStyle name="wissenschaft+" xfId="49" xr:uid="{00000000-0005-0000-0000-000045000000}"/>
    <cellStyle name="wissenschaft-Eingabe" xfId="50" xr:uid="{00000000-0005-0000-0000-000046000000}"/>
    <cellStyle name="wissenschaft-Eingabe 2" xfId="72" xr:uid="{00000000-0005-0000-0000-000047000000}"/>
    <cellStyle name="zkh" xfId="51" xr:uid="{00000000-0005-0000-0000-000048000000}"/>
  </cellStyles>
  <dxfs count="101">
    <dxf>
      <numFmt numFmtId="199" formatCode="#,##0.000"/>
    </dxf>
    <dxf>
      <numFmt numFmtId="4" formatCode="#,##0.00"/>
    </dxf>
    <dxf>
      <numFmt numFmtId="191" formatCode="#,##0.0"/>
    </dxf>
    <dxf>
      <numFmt numFmtId="3" formatCode="#,##0"/>
    </dxf>
    <dxf>
      <numFmt numFmtId="1" formatCode="0"/>
    </dxf>
    <dxf>
      <numFmt numFmtId="199" formatCode="#,##0.000"/>
    </dxf>
    <dxf>
      <numFmt numFmtId="4" formatCode="#,##0.00"/>
    </dxf>
    <dxf>
      <numFmt numFmtId="165" formatCode="0.0"/>
    </dxf>
    <dxf>
      <numFmt numFmtId="3" formatCode="#,##0"/>
    </dxf>
    <dxf>
      <font>
        <color theme="0" tint="-0.24994659260841701"/>
      </font>
      <numFmt numFmtId="1" formatCode="0"/>
      <fill>
        <patternFill>
          <bgColor theme="0" tint="-0.24994659260841701"/>
        </patternFill>
      </fill>
    </dxf>
    <dxf>
      <numFmt numFmtId="190" formatCode="0.000"/>
    </dxf>
    <dxf>
      <numFmt numFmtId="2" formatCode="0.00"/>
    </dxf>
    <dxf>
      <numFmt numFmtId="165" formatCode="0.0"/>
    </dxf>
    <dxf>
      <numFmt numFmtId="3" formatCode="#,##0"/>
    </dxf>
    <dxf>
      <numFmt numFmtId="1" formatCode="0"/>
    </dxf>
    <dxf>
      <numFmt numFmtId="190" formatCode="0.000"/>
    </dxf>
    <dxf>
      <numFmt numFmtId="2" formatCode="0.00"/>
    </dxf>
    <dxf>
      <numFmt numFmtId="165" formatCode="0.0"/>
    </dxf>
    <dxf>
      <numFmt numFmtId="3" formatCode="#,##0"/>
    </dxf>
    <dxf>
      <numFmt numFmtId="1" formatCode="0"/>
    </dxf>
    <dxf>
      <numFmt numFmtId="190" formatCode="0.000"/>
    </dxf>
    <dxf>
      <numFmt numFmtId="2" formatCode="0.00"/>
    </dxf>
    <dxf>
      <numFmt numFmtId="165" formatCode="0.0"/>
    </dxf>
    <dxf>
      <numFmt numFmtId="3" formatCode="#,##0"/>
    </dxf>
    <dxf>
      <numFmt numFmtId="1" formatCode="0"/>
    </dxf>
    <dxf>
      <numFmt numFmtId="190" formatCode="0.000"/>
    </dxf>
    <dxf>
      <numFmt numFmtId="2" formatCode="0.00"/>
    </dxf>
    <dxf>
      <numFmt numFmtId="165" formatCode="0.0"/>
    </dxf>
    <dxf>
      <numFmt numFmtId="3" formatCode="#,##0"/>
    </dxf>
    <dxf>
      <numFmt numFmtId="1" formatCode="0"/>
    </dxf>
    <dxf>
      <numFmt numFmtId="190" formatCode="0.000"/>
    </dxf>
    <dxf>
      <numFmt numFmtId="2" formatCode="0.00"/>
    </dxf>
    <dxf>
      <numFmt numFmtId="165" formatCode="0.0"/>
    </dxf>
    <dxf>
      <numFmt numFmtId="3" formatCode="#,##0"/>
    </dxf>
    <dxf>
      <numFmt numFmtId="1" formatCode="0"/>
    </dxf>
    <dxf>
      <numFmt numFmtId="199" formatCode="#,##0.000"/>
    </dxf>
    <dxf>
      <numFmt numFmtId="4" formatCode="#,##0.00"/>
    </dxf>
    <dxf>
      <numFmt numFmtId="191" formatCode="#,##0.0"/>
    </dxf>
    <dxf>
      <numFmt numFmtId="3" formatCode="#,##0"/>
    </dxf>
    <dxf>
      <numFmt numFmtId="1" formatCode="0"/>
    </dxf>
    <dxf>
      <font>
        <b/>
        <i val="0"/>
        <color theme="5"/>
      </font>
    </dxf>
    <dxf>
      <font>
        <b/>
        <i val="0"/>
        <color theme="5"/>
      </font>
    </dxf>
    <dxf>
      <font>
        <b/>
        <i val="0"/>
        <color theme="5"/>
      </font>
    </dxf>
    <dxf>
      <font>
        <b/>
        <i val="0"/>
        <color theme="5"/>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color theme="5"/>
      </font>
    </dxf>
    <dxf>
      <font>
        <b/>
        <i val="0"/>
        <color theme="5"/>
      </font>
    </dxf>
    <dxf>
      <font>
        <b/>
        <i val="0"/>
        <color theme="5"/>
      </font>
    </dxf>
    <dxf>
      <font>
        <b/>
        <i val="0"/>
        <color theme="5"/>
      </font>
    </dxf>
    <dxf>
      <font>
        <b val="0"/>
        <i val="0"/>
        <color rgb="FF009900"/>
      </font>
    </dxf>
    <dxf>
      <font>
        <color theme="0" tint="-9.9948118533890809E-2"/>
      </font>
      <fill>
        <patternFill>
          <bgColor theme="0" tint="-9.9948118533890809E-2"/>
        </patternFill>
      </fill>
    </dxf>
    <dxf>
      <font>
        <b val="0"/>
        <i val="0"/>
        <color rgb="FF009900"/>
      </font>
    </dxf>
    <dxf>
      <font>
        <b/>
        <i val="0"/>
        <color theme="5"/>
      </font>
    </dxf>
    <dxf>
      <font>
        <b/>
        <i val="0"/>
        <color theme="5"/>
      </font>
    </dxf>
    <dxf>
      <font>
        <b/>
        <i val="0"/>
        <color theme="5"/>
      </font>
    </dxf>
    <dxf>
      <font>
        <b/>
        <i val="0"/>
        <color theme="5"/>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color theme="5"/>
      </font>
    </dxf>
    <dxf>
      <font>
        <b/>
        <i val="0"/>
        <color theme="5"/>
      </font>
    </dxf>
    <dxf>
      <font>
        <b/>
        <i val="0"/>
        <color theme="5"/>
      </font>
    </dxf>
    <dxf>
      <font>
        <b/>
        <i val="0"/>
        <color theme="5"/>
      </font>
    </dxf>
    <dxf>
      <font>
        <b val="0"/>
        <i val="0"/>
        <color rgb="FF009900"/>
      </font>
    </dxf>
    <dxf>
      <font>
        <color theme="0" tint="-9.9948118533890809E-2"/>
      </font>
      <fill>
        <patternFill>
          <bgColor theme="0" tint="-9.9948118533890809E-2"/>
        </patternFill>
      </fill>
    </dxf>
    <dxf>
      <font>
        <b val="0"/>
        <i val="0"/>
        <color rgb="FF009900"/>
      </font>
    </dxf>
    <dxf>
      <font>
        <b/>
        <i val="0"/>
        <color theme="5"/>
      </font>
    </dxf>
    <dxf>
      <font>
        <b/>
        <i val="0"/>
        <color theme="5"/>
      </font>
    </dxf>
    <dxf>
      <font>
        <b/>
        <i val="0"/>
        <color theme="5"/>
      </font>
    </dxf>
    <dxf>
      <font>
        <b/>
        <i val="0"/>
        <color theme="5"/>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color theme="5"/>
      </font>
    </dxf>
    <dxf>
      <font>
        <b/>
        <i val="0"/>
        <color theme="5"/>
      </font>
    </dxf>
    <dxf>
      <font>
        <b/>
        <i val="0"/>
        <color theme="5"/>
      </font>
    </dxf>
    <dxf>
      <font>
        <b/>
        <i val="0"/>
        <color theme="5"/>
      </font>
    </dxf>
    <dxf>
      <font>
        <b val="0"/>
        <i val="0"/>
        <color rgb="FF009900"/>
      </font>
    </dxf>
    <dxf>
      <font>
        <color theme="0" tint="-9.9948118533890809E-2"/>
      </font>
      <fill>
        <patternFill>
          <bgColor theme="0" tint="-9.9948118533890809E-2"/>
        </patternFill>
      </fill>
    </dxf>
    <dxf>
      <font>
        <b val="0"/>
        <i val="0"/>
        <color rgb="FF009900"/>
      </font>
    </dxf>
    <dxf>
      <font>
        <b/>
        <i val="0"/>
        <color theme="5"/>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color theme="5"/>
      </font>
    </dxf>
    <dxf>
      <font>
        <b/>
        <i val="0"/>
        <color theme="5"/>
      </font>
    </dxf>
    <dxf>
      <font>
        <b/>
        <i val="0"/>
        <color theme="5"/>
      </font>
    </dxf>
    <dxf>
      <font>
        <b/>
        <i val="0"/>
        <color theme="5"/>
      </font>
    </dxf>
    <dxf>
      <font>
        <b val="0"/>
        <i val="0"/>
        <color rgb="FF009900"/>
      </font>
    </dxf>
    <dxf>
      <font>
        <color theme="0" tint="-9.9948118533890809E-2"/>
      </font>
      <fill>
        <patternFill>
          <bgColor theme="0" tint="-9.9948118533890809E-2"/>
        </patternFill>
      </fill>
    </dxf>
    <dxf>
      <font>
        <b val="0"/>
        <i val="0"/>
        <color rgb="FF009900"/>
      </font>
    </dxf>
    <dxf>
      <font>
        <color rgb="FF009900"/>
      </font>
    </dxf>
    <dxf>
      <font>
        <color rgb="FF009900"/>
      </font>
    </dxf>
    <dxf>
      <font>
        <color rgb="FF009900"/>
      </font>
    </dxf>
    <dxf>
      <font>
        <color rgb="FF009900"/>
      </font>
    </dxf>
  </dxfs>
  <tableStyles count="0" defaultTableStyle="TableStyleMedium2" defaultPivotStyle="PivotStyleLight16"/>
  <colors>
    <mruColors>
      <color rgb="FFFFFFFF"/>
      <color rgb="FF009900"/>
      <color rgb="FFBCE2BD"/>
      <color rgb="FF73C375"/>
      <color rgb="FFDBE7D1"/>
      <color rgb="FFCCFF99"/>
      <color rgb="FFF2F6F8"/>
      <color rgb="FFFFCC99"/>
      <color rgb="FF29C538"/>
      <color rgb="FF32BC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T$45" lockText="1" noThreeD="1"/>
</file>

<file path=xl/ctrlProps/ctrlProp10.xml><?xml version="1.0" encoding="utf-8"?>
<formControlPr xmlns="http://schemas.microsoft.com/office/spreadsheetml/2009/9/main" objectType="CheckBox" checked="Checked" fmlaLink="$T$38" lockText="1" noThreeD="1"/>
</file>

<file path=xl/ctrlProps/ctrlProp11.xml><?xml version="1.0" encoding="utf-8"?>
<formControlPr xmlns="http://schemas.microsoft.com/office/spreadsheetml/2009/9/main" objectType="CheckBox" checked="Checked" fmlaLink="$T$42" lockText="1" noThreeD="1"/>
</file>

<file path=xl/ctrlProps/ctrlProp12.xml><?xml version="1.0" encoding="utf-8"?>
<formControlPr xmlns="http://schemas.microsoft.com/office/spreadsheetml/2009/9/main" objectType="CheckBox" checked="Checked" fmlaLink="$T$33" lockText="1" noThreeD="1"/>
</file>

<file path=xl/ctrlProps/ctrlProp13.xml><?xml version="1.0" encoding="utf-8"?>
<formControlPr xmlns="http://schemas.microsoft.com/office/spreadsheetml/2009/9/main" objectType="CheckBox" checked="Checked" fmlaLink="$T$45" lockText="1" noThreeD="1"/>
</file>

<file path=xl/ctrlProps/ctrlProp14.xml><?xml version="1.0" encoding="utf-8"?>
<formControlPr xmlns="http://schemas.microsoft.com/office/spreadsheetml/2009/9/main" objectType="CheckBox" checked="Checked" fmlaLink="$T$38" lockText="1" noThreeD="1"/>
</file>

<file path=xl/ctrlProps/ctrlProp15.xml><?xml version="1.0" encoding="utf-8"?>
<formControlPr xmlns="http://schemas.microsoft.com/office/spreadsheetml/2009/9/main" objectType="CheckBox" checked="Checked" fmlaLink="$T$42" lockText="1" noThreeD="1"/>
</file>

<file path=xl/ctrlProps/ctrlProp16.xml><?xml version="1.0" encoding="utf-8"?>
<formControlPr xmlns="http://schemas.microsoft.com/office/spreadsheetml/2009/9/main" objectType="CheckBox" checked="Checked" fmlaLink="$T$33" lockText="1" noThreeD="1"/>
</file>

<file path=xl/ctrlProps/ctrlProp2.xml><?xml version="1.0" encoding="utf-8"?>
<formControlPr xmlns="http://schemas.microsoft.com/office/spreadsheetml/2009/9/main" objectType="CheckBox" checked="Checked" fmlaLink="$T$38" lockText="1" noThreeD="1"/>
</file>

<file path=xl/ctrlProps/ctrlProp3.xml><?xml version="1.0" encoding="utf-8"?>
<formControlPr xmlns="http://schemas.microsoft.com/office/spreadsheetml/2009/9/main" objectType="CheckBox" checked="Checked" fmlaLink="$T$42" lockText="1" noThreeD="1"/>
</file>

<file path=xl/ctrlProps/ctrlProp4.xml><?xml version="1.0" encoding="utf-8"?>
<formControlPr xmlns="http://schemas.microsoft.com/office/spreadsheetml/2009/9/main" objectType="CheckBox" checked="Checked" fmlaLink="$T$33" lockText="1" noThreeD="1"/>
</file>

<file path=xl/ctrlProps/ctrlProp5.xml><?xml version="1.0" encoding="utf-8"?>
<formControlPr xmlns="http://schemas.microsoft.com/office/spreadsheetml/2009/9/main" objectType="CheckBox" checked="Checked" fmlaLink="$T$45" lockText="1" noThreeD="1"/>
</file>

<file path=xl/ctrlProps/ctrlProp6.xml><?xml version="1.0" encoding="utf-8"?>
<formControlPr xmlns="http://schemas.microsoft.com/office/spreadsheetml/2009/9/main" objectType="CheckBox" checked="Checked" fmlaLink="$T$38" lockText="1" noThreeD="1"/>
</file>

<file path=xl/ctrlProps/ctrlProp7.xml><?xml version="1.0" encoding="utf-8"?>
<formControlPr xmlns="http://schemas.microsoft.com/office/spreadsheetml/2009/9/main" objectType="CheckBox" checked="Checked" fmlaLink="$T$42" lockText="1" noThreeD="1"/>
</file>

<file path=xl/ctrlProps/ctrlProp8.xml><?xml version="1.0" encoding="utf-8"?>
<formControlPr xmlns="http://schemas.microsoft.com/office/spreadsheetml/2009/9/main" objectType="CheckBox" checked="Checked" fmlaLink="$T$33" lockText="1" noThreeD="1"/>
</file>

<file path=xl/ctrlProps/ctrlProp9.xml><?xml version="1.0" encoding="utf-8"?>
<formControlPr xmlns="http://schemas.microsoft.com/office/spreadsheetml/2009/9/main" objectType="CheckBox" checked="Checked" fmlaLink="$T$4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10</xdr:row>
      <xdr:rowOff>38099</xdr:rowOff>
    </xdr:from>
    <xdr:to>
      <xdr:col>9</xdr:col>
      <xdr:colOff>82826</xdr:colOff>
      <xdr:row>43</xdr:row>
      <xdr:rowOff>8283</xdr:rowOff>
    </xdr:to>
    <xdr:sp macro="" textlink="">
      <xdr:nvSpPr>
        <xdr:cNvPr id="2" name="Text Box 4">
          <a:extLst>
            <a:ext uri="{FF2B5EF4-FFF2-40B4-BE49-F238E27FC236}">
              <a16:creationId xmlns:a16="http://schemas.microsoft.com/office/drawing/2014/main" id="{00000000-0008-0000-0000-000002000000}"/>
            </a:ext>
          </a:extLst>
        </xdr:cNvPr>
        <xdr:cNvSpPr txBox="1">
          <a:spLocks noChangeArrowheads="1"/>
        </xdr:cNvSpPr>
      </xdr:nvSpPr>
      <xdr:spPr bwMode="auto">
        <a:xfrm>
          <a:off x="422413" y="1802295"/>
          <a:ext cx="6493565" cy="52544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32004"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rPr>
            <a:t>Die Stadt Zürich hat sich das Ziel gesetzt, ihren Primärenergiebedarf auf 2000 Watt pro Per­son und die Treibhausgas-emissionen bis zum Jahr 2040 auf Null zu senken. Auch das Mobiliar hat einen Einfluss auf den Ausstoss von Treibhausgasen und den Verbrauch von Ressourcen. Das Amt für Hochbauten der Stadt Zürich (AHB) ist für die Beschaffung der Erstausstattung mit Mobiliar zuständig. Da viele Hersteller über die Umweltwirkungen ihrer Produkte keine Informationen besitzen, hat die Fachstelle Nachhaltiges Bauen des AHB diesen Mobiliarrechner erstellen lassen. Er ermöglicht die einfache Ökobilanzierung verschiedener Möbel anhand ihrer Zusammensetzung und der anfallenden Transporte.</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rPr>
            <a:t>Der Rechner dient Herstellern, die Umweltauswirkung ihrer Produkte zu berechnen, zu optimieren sowie ihre Kunden über die Umweltauswirkungen zu informieren. Sie können mit dem Mobiliarrechner die Umweltbelastung </a:t>
          </a:r>
          <a:br>
            <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rPr>
          </a:br>
          <a:r>
            <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rPr>
            <a:t>von bis zu 4 verschiedenen Produkten berechnen.</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rPr>
            <a:t>In diesem Rechner werden die Umweltwirkungen von Mobiliar mit folgenden Umweltindikatoren quantifiziert und ausgewiesen: </a:t>
          </a:r>
        </a:p>
        <a:p>
          <a:pPr rtl="0" eaLnBrk="1" fontAlgn="auto" latinLnBrk="0" hangingPunct="1"/>
          <a:r>
            <a:rPr lang="de-CH" sz="1200" b="0" i="0" baseline="0">
              <a:effectLst/>
              <a:latin typeface="Trebuchet MS" panose="020B0603020202020204" pitchFamily="34" charset="0"/>
              <a:ea typeface="+mn-ea"/>
              <a:cs typeface="Traditional Arabic" panose="02020603050405020304" pitchFamily="18" charset="-78"/>
            </a:rPr>
            <a:t>- Umweltbelastungspunkte (Methode der ökologischen Knappheit 2021)</a:t>
          </a:r>
        </a:p>
        <a:p>
          <a:pPr rtl="0" eaLnBrk="1" fontAlgn="auto" latinLnBrk="0" hangingPunct="1"/>
          <a:r>
            <a:rPr lang="de-CH" sz="1200" b="0" i="0" baseline="0">
              <a:effectLst/>
              <a:latin typeface="Trebuchet MS" panose="020B0603020202020204" pitchFamily="34" charset="0"/>
              <a:ea typeface="+mn-ea"/>
              <a:cs typeface="Traditional Arabic" panose="02020603050405020304" pitchFamily="18" charset="-78"/>
            </a:rPr>
            <a:t>- Primärenergie erneuerbar (Frischknecht et al. 2007) </a:t>
          </a:r>
        </a:p>
        <a:p>
          <a:pPr rtl="0" eaLnBrk="1" fontAlgn="auto" latinLnBrk="0" hangingPunct="1"/>
          <a:r>
            <a:rPr lang="de-CH" sz="1200" b="0" i="0" baseline="0">
              <a:effectLst/>
              <a:latin typeface="Trebuchet MS" panose="020B0603020202020204" pitchFamily="34" charset="0"/>
              <a:ea typeface="+mn-ea"/>
              <a:cs typeface="Traditional Arabic" panose="02020603050405020304" pitchFamily="18" charset="-78"/>
            </a:rPr>
            <a:t>- Primärenergie nicht erneuerbar (Frischknecht et al. 2007) </a:t>
          </a:r>
        </a:p>
        <a:p>
          <a:pPr algn="l" rtl="0" eaLnBrk="1" fontAlgn="auto" latinLnBrk="0" hangingPunct="1"/>
          <a:r>
            <a:rPr lang="de-CH" sz="1200" b="0" i="0" baseline="0">
              <a:effectLst/>
              <a:latin typeface="Trebuchet MS" panose="020B0603020202020204" pitchFamily="34" charset="0"/>
              <a:ea typeface="+mn-ea"/>
              <a:cs typeface="Traditional Arabic" panose="02020603050405020304" pitchFamily="18" charset="-78"/>
            </a:rPr>
            <a:t>- Treibhausgasemissionen (5. Sachstandsbericht IPCC 2013)</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de-CH" sz="1200" b="0" i="0" u="none" strike="noStrike" kern="0" cap="none" spc="0" normalizeH="0" baseline="0" noProof="0">
              <a:ln>
                <a:noFill/>
              </a:ln>
              <a:solidFill>
                <a:sysClr val="windowText" lastClr="000000"/>
              </a:solidFill>
              <a:effectLst/>
              <a:uLnTx/>
              <a:uFillTx/>
              <a:latin typeface="Trebuchet MS" panose="020B0603020202020204" pitchFamily="34" charset="0"/>
              <a:ea typeface="+mn-ea"/>
              <a:cs typeface="Traditional Arabic" panose="02020603050405020304" pitchFamily="18" charset="-78"/>
            </a:rPr>
            <a:t>Datenbasis bilden die KBOB Ökobilanzdaten im Baubereich 2022 Version sowie der UVEK Ökobilanzdatenbestand DQRv2:2022 (Aluguss, Teflon, Leder, Baumwolle).</a:t>
          </a:r>
          <a:r>
            <a:rPr lang="de-CH" sz="1200">
              <a:effectLst/>
              <a:latin typeface="Trebuchet MS" panose="020B0603020202020204" pitchFamily="34" charset="0"/>
              <a:ea typeface="+mn-ea"/>
              <a:cs typeface="Traditional Arabic" panose="02020603050405020304" pitchFamily="18" charset="-78"/>
            </a:rPr>
            <a:t> </a:t>
          </a:r>
          <a:br>
            <a:rPr lang="de-CH" sz="1200">
              <a:effectLst/>
              <a:latin typeface="Trebuchet MS" panose="020B0603020202020204" pitchFamily="34" charset="0"/>
              <a:ea typeface="+mn-ea"/>
              <a:cs typeface="Traditional Arabic" panose="02020603050405020304" pitchFamily="18" charset="-78"/>
            </a:rPr>
          </a:br>
          <a:endParaRPr lang="de-CH" sz="1200">
            <a:effectLst/>
            <a:latin typeface="Trebuchet MS" panose="020B0603020202020204" pitchFamily="34" charset="0"/>
            <a:ea typeface="+mn-ea"/>
            <a:cs typeface="Traditional Arabic" panose="02020603050405020304" pitchFamily="18" charset="-7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de-CH" sz="1200">
              <a:effectLst/>
              <a:latin typeface="Trebuchet MS" panose="020B0603020202020204" pitchFamily="34" charset="0"/>
              <a:ea typeface="+mn-ea"/>
              <a:cs typeface="Traditional Arabic" panose="02020603050405020304" pitchFamily="18" charset="-78"/>
            </a:rPr>
            <a:t>Bitte beachten Sie die Hinweistexte, welche beim Auswählen eines Eingabe- oder Auswahlfelds erscheinen. Eingabefelder sind weiss, Auswahlfelder hellblau hinterlegt.</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de-CH" sz="1200">
            <a:effectLst/>
            <a:latin typeface="Trebuchet MS" panose="020B0603020202020204" pitchFamily="34" charset="0"/>
            <a:ea typeface="+mn-ea"/>
            <a:cs typeface="Traditional Arabic" panose="02020603050405020304" pitchFamily="18" charset="-78"/>
          </a:endParaRPr>
        </a:p>
      </xdr:txBody>
    </xdr:sp>
    <xdr:clientData/>
  </xdr:twoCellAnchor>
  <xdr:oneCellAnchor>
    <xdr:from>
      <xdr:col>0</xdr:col>
      <xdr:colOff>342900</xdr:colOff>
      <xdr:row>57</xdr:row>
      <xdr:rowOff>57150</xdr:rowOff>
    </xdr:from>
    <xdr:ext cx="76200" cy="200025"/>
    <xdr:sp macro="" textlink="">
      <xdr:nvSpPr>
        <xdr:cNvPr id="3" name="Text Box 5">
          <a:extLst>
            <a:ext uri="{FF2B5EF4-FFF2-40B4-BE49-F238E27FC236}">
              <a16:creationId xmlns:a16="http://schemas.microsoft.com/office/drawing/2014/main" id="{00000000-0008-0000-0000-000003000000}"/>
            </a:ext>
          </a:extLst>
        </xdr:cNvPr>
        <xdr:cNvSpPr txBox="1">
          <a:spLocks noChangeArrowheads="1"/>
        </xdr:cNvSpPr>
      </xdr:nvSpPr>
      <xdr:spPr bwMode="auto">
        <a:xfrm>
          <a:off x="342900" y="71247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74407</xdr:colOff>
      <xdr:row>46</xdr:row>
      <xdr:rowOff>149500</xdr:rowOff>
    </xdr:from>
    <xdr:to>
      <xdr:col>3</xdr:col>
      <xdr:colOff>157371</xdr:colOff>
      <xdr:row>50</xdr:row>
      <xdr:rowOff>49695</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496820" y="7860609"/>
          <a:ext cx="2642290" cy="8278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36576" rIns="0" bIns="0" anchor="t" upright="1"/>
        <a:lstStyle/>
        <a:p>
          <a:pPr algn="l" rtl="0">
            <a:defRPr sz="1000"/>
          </a:pPr>
          <a:r>
            <a:rPr lang="de-CH" sz="1000" b="1" i="0" u="none" strike="noStrike" baseline="0">
              <a:solidFill>
                <a:srgbClr val="000000"/>
              </a:solidFill>
              <a:latin typeface="Trebuchet MS"/>
            </a:rPr>
            <a:t>Kontakt:  </a:t>
          </a:r>
          <a:endParaRPr lang="de-CH" sz="1000" b="0" i="0" u="none" strike="noStrike" baseline="0">
            <a:solidFill>
              <a:srgbClr val="000000"/>
            </a:solidFill>
            <a:latin typeface="Trebuchet MS"/>
          </a:endParaRPr>
        </a:p>
        <a:p>
          <a:pPr algn="l" rtl="0">
            <a:defRPr sz="1000"/>
          </a:pPr>
          <a:r>
            <a:rPr lang="de-CH" sz="1000" b="0" i="0" u="none" strike="noStrike" baseline="0">
              <a:solidFill>
                <a:srgbClr val="000000"/>
              </a:solidFill>
              <a:latin typeface="Trebuchet MS"/>
            </a:rPr>
            <a:t>Basler &amp; Hofmann AG</a:t>
          </a:r>
        </a:p>
        <a:p>
          <a:pPr algn="l" rtl="0">
            <a:defRPr sz="1000"/>
          </a:pPr>
          <a:r>
            <a:rPr lang="de-CH" sz="1000" b="0" i="0" u="none" strike="noStrike" baseline="0">
              <a:solidFill>
                <a:srgbClr val="000000"/>
              </a:solidFill>
              <a:latin typeface="Trebuchet MS"/>
            </a:rPr>
            <a:t>Bahnhofstrasse 8, CH-9000 St.Gallen</a:t>
          </a:r>
        </a:p>
        <a:p>
          <a:pPr algn="l" rtl="0">
            <a:defRPr sz="1000"/>
          </a:pPr>
          <a:r>
            <a:rPr lang="de-CH" sz="1000" b="0" i="0" u="none" strike="noStrike" baseline="0">
              <a:solidFill>
                <a:srgbClr val="000000"/>
              </a:solidFill>
              <a:latin typeface="Trebuchet MS"/>
            </a:rPr>
            <a:t>www.baslerhofmann.ch </a:t>
          </a:r>
        </a:p>
        <a:p>
          <a:pPr algn="l" rtl="0">
            <a:defRPr sz="1000"/>
          </a:pPr>
          <a:r>
            <a:rPr lang="de-CH" sz="1000" b="0" i="0" u="none" strike="noStrike" baseline="0">
              <a:solidFill>
                <a:srgbClr val="000000"/>
              </a:solidFill>
              <a:latin typeface="Trebuchet MS"/>
            </a:rPr>
            <a:t>Tel. +41 71 652 60 90</a:t>
          </a:r>
        </a:p>
      </xdr:txBody>
    </xdr:sp>
    <xdr:clientData/>
  </xdr:twoCellAnchor>
  <xdr:twoCellAnchor editAs="oneCell">
    <xdr:from>
      <xdr:col>0</xdr:col>
      <xdr:colOff>371475</xdr:colOff>
      <xdr:row>0</xdr:row>
      <xdr:rowOff>76200</xdr:rowOff>
    </xdr:from>
    <xdr:to>
      <xdr:col>4</xdr:col>
      <xdr:colOff>206513</xdr:colOff>
      <xdr:row>4</xdr:row>
      <xdr:rowOff>47625</xdr:rowOff>
    </xdr:to>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1475" y="76200"/>
          <a:ext cx="3679825" cy="720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47625</xdr:rowOff>
    </xdr:from>
    <xdr:to>
      <xdr:col>3</xdr:col>
      <xdr:colOff>1025489</xdr:colOff>
      <xdr:row>4</xdr:row>
      <xdr:rowOff>52668</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47625"/>
          <a:ext cx="3396448" cy="71668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219075</xdr:colOff>
          <xdr:row>43</xdr:row>
          <xdr:rowOff>200025</xdr:rowOff>
        </xdr:from>
        <xdr:to>
          <xdr:col>2</xdr:col>
          <xdr:colOff>1857375</xdr:colOff>
          <xdr:row>44</xdr:row>
          <xdr:rowOff>200025</xdr:rowOff>
        </xdr:to>
        <xdr:sp macro="" textlink="">
          <xdr:nvSpPr>
            <xdr:cNvPr id="6146" name="Check Box 2" descr="Identisch zu den Angaben auf dem Blatt &quot;Start&quot;"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34</xdr:row>
          <xdr:rowOff>171450</xdr:rowOff>
        </xdr:from>
        <xdr:to>
          <xdr:col>2</xdr:col>
          <xdr:colOff>1847850</xdr:colOff>
          <xdr:row>36</xdr:row>
          <xdr:rowOff>47625</xdr:rowOff>
        </xdr:to>
        <xdr:sp macro="" textlink="">
          <xdr:nvSpPr>
            <xdr:cNvPr id="6147" name="Check Box 3" descr="Identisch zu den Angaben auf dem Blatt &quot;Start&quot;"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38</xdr:row>
          <xdr:rowOff>142875</xdr:rowOff>
        </xdr:from>
        <xdr:to>
          <xdr:col>2</xdr:col>
          <xdr:colOff>1838325</xdr:colOff>
          <xdr:row>40</xdr:row>
          <xdr:rowOff>47625</xdr:rowOff>
        </xdr:to>
        <xdr:sp macro="" textlink="">
          <xdr:nvSpPr>
            <xdr:cNvPr id="6148" name="Check Box 4" descr="Identisch zu den Angaben auf dem Blatt &quot;Start&quot;"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30</xdr:row>
          <xdr:rowOff>161925</xdr:rowOff>
        </xdr:from>
        <xdr:to>
          <xdr:col>2</xdr:col>
          <xdr:colOff>1857375</xdr:colOff>
          <xdr:row>32</xdr:row>
          <xdr:rowOff>19050</xdr:rowOff>
        </xdr:to>
        <xdr:sp macro="" textlink="">
          <xdr:nvSpPr>
            <xdr:cNvPr id="6163" name="Check Box 19" descr="Identisch zu den Angaben auf dem Blatt &quot;Start&quot;"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Defaultwerte verwenden</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47625</xdr:rowOff>
    </xdr:from>
    <xdr:to>
      <xdr:col>3</xdr:col>
      <xdr:colOff>1025489</xdr:colOff>
      <xdr:row>4</xdr:row>
      <xdr:rowOff>52668</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47625"/>
          <a:ext cx="3387689" cy="72894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219075</xdr:colOff>
          <xdr:row>43</xdr:row>
          <xdr:rowOff>200025</xdr:rowOff>
        </xdr:from>
        <xdr:to>
          <xdr:col>2</xdr:col>
          <xdr:colOff>1857375</xdr:colOff>
          <xdr:row>44</xdr:row>
          <xdr:rowOff>200025</xdr:rowOff>
        </xdr:to>
        <xdr:sp macro="" textlink="">
          <xdr:nvSpPr>
            <xdr:cNvPr id="8193" name="Check Box 1" descr="Identisch zu den Angaben auf dem Blatt &quot;Start&quot;"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34</xdr:row>
          <xdr:rowOff>171450</xdr:rowOff>
        </xdr:from>
        <xdr:to>
          <xdr:col>2</xdr:col>
          <xdr:colOff>1847850</xdr:colOff>
          <xdr:row>36</xdr:row>
          <xdr:rowOff>47625</xdr:rowOff>
        </xdr:to>
        <xdr:sp macro="" textlink="">
          <xdr:nvSpPr>
            <xdr:cNvPr id="8194" name="Check Box 2" descr="Identisch zu den Angaben auf dem Blatt &quot;Start&quot;"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38</xdr:row>
          <xdr:rowOff>142875</xdr:rowOff>
        </xdr:from>
        <xdr:to>
          <xdr:col>2</xdr:col>
          <xdr:colOff>1838325</xdr:colOff>
          <xdr:row>40</xdr:row>
          <xdr:rowOff>47625</xdr:rowOff>
        </xdr:to>
        <xdr:sp macro="" textlink="">
          <xdr:nvSpPr>
            <xdr:cNvPr id="8195" name="Check Box 3" descr="Identisch zu den Angaben auf dem Blatt &quot;Start&quot;"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30</xdr:row>
          <xdr:rowOff>161925</xdr:rowOff>
        </xdr:from>
        <xdr:to>
          <xdr:col>2</xdr:col>
          <xdr:colOff>1857375</xdr:colOff>
          <xdr:row>32</xdr:row>
          <xdr:rowOff>19050</xdr:rowOff>
        </xdr:to>
        <xdr:sp macro="" textlink="">
          <xdr:nvSpPr>
            <xdr:cNvPr id="8196" name="Check Box 4" descr="Identisch zu den Angaben auf dem Blatt &quot;Start&quot;" hidden="1">
              <a:extLst>
                <a:ext uri="{63B3BB69-23CF-44E3-9099-C40C66FF867C}">
                  <a14:compatExt spid="_x0000_s8196"/>
                </a:ext>
                <a:ext uri="{FF2B5EF4-FFF2-40B4-BE49-F238E27FC236}">
                  <a16:creationId xmlns:a16="http://schemas.microsoft.com/office/drawing/2014/main" id="{00000000-0008-0000-02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Defaultwerte verwenden</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0</xdr:row>
      <xdr:rowOff>47625</xdr:rowOff>
    </xdr:from>
    <xdr:to>
      <xdr:col>3</xdr:col>
      <xdr:colOff>1025489</xdr:colOff>
      <xdr:row>4</xdr:row>
      <xdr:rowOff>52668</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47625"/>
          <a:ext cx="3387689" cy="72894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219075</xdr:colOff>
          <xdr:row>43</xdr:row>
          <xdr:rowOff>200025</xdr:rowOff>
        </xdr:from>
        <xdr:to>
          <xdr:col>2</xdr:col>
          <xdr:colOff>1857375</xdr:colOff>
          <xdr:row>44</xdr:row>
          <xdr:rowOff>200025</xdr:rowOff>
        </xdr:to>
        <xdr:sp macro="" textlink="">
          <xdr:nvSpPr>
            <xdr:cNvPr id="9217" name="Check Box 1" descr="Identisch zu den Angaben auf dem Blatt &quot;Start&quot;"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34</xdr:row>
          <xdr:rowOff>171450</xdr:rowOff>
        </xdr:from>
        <xdr:to>
          <xdr:col>2</xdr:col>
          <xdr:colOff>1847850</xdr:colOff>
          <xdr:row>36</xdr:row>
          <xdr:rowOff>47625</xdr:rowOff>
        </xdr:to>
        <xdr:sp macro="" textlink="">
          <xdr:nvSpPr>
            <xdr:cNvPr id="9218" name="Check Box 2" descr="Identisch zu den Angaben auf dem Blatt &quot;Start&quot;"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38</xdr:row>
          <xdr:rowOff>142875</xdr:rowOff>
        </xdr:from>
        <xdr:to>
          <xdr:col>2</xdr:col>
          <xdr:colOff>1838325</xdr:colOff>
          <xdr:row>40</xdr:row>
          <xdr:rowOff>47625</xdr:rowOff>
        </xdr:to>
        <xdr:sp macro="" textlink="">
          <xdr:nvSpPr>
            <xdr:cNvPr id="9219" name="Check Box 3" descr="Identisch zu den Angaben auf dem Blatt &quot;Start&quot;"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30</xdr:row>
          <xdr:rowOff>161925</xdr:rowOff>
        </xdr:from>
        <xdr:to>
          <xdr:col>2</xdr:col>
          <xdr:colOff>1857375</xdr:colOff>
          <xdr:row>32</xdr:row>
          <xdr:rowOff>19050</xdr:rowOff>
        </xdr:to>
        <xdr:sp macro="" textlink="">
          <xdr:nvSpPr>
            <xdr:cNvPr id="9220" name="Check Box 4" descr="Identisch zu den Angaben auf dem Blatt &quot;Start&quot;"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Defaultwerte verwenden</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114300</xdr:colOff>
      <xdr:row>0</xdr:row>
      <xdr:rowOff>47625</xdr:rowOff>
    </xdr:from>
    <xdr:to>
      <xdr:col>3</xdr:col>
      <xdr:colOff>1025489</xdr:colOff>
      <xdr:row>4</xdr:row>
      <xdr:rowOff>52668</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47625"/>
          <a:ext cx="3387689" cy="72894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219075</xdr:colOff>
          <xdr:row>43</xdr:row>
          <xdr:rowOff>200025</xdr:rowOff>
        </xdr:from>
        <xdr:to>
          <xdr:col>2</xdr:col>
          <xdr:colOff>1857375</xdr:colOff>
          <xdr:row>44</xdr:row>
          <xdr:rowOff>200025</xdr:rowOff>
        </xdr:to>
        <xdr:sp macro="" textlink="">
          <xdr:nvSpPr>
            <xdr:cNvPr id="10241" name="Check Box 1" descr="Identisch zu den Angaben auf dem Blatt &quot;Start&quot;"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34</xdr:row>
          <xdr:rowOff>171450</xdr:rowOff>
        </xdr:from>
        <xdr:to>
          <xdr:col>2</xdr:col>
          <xdr:colOff>1847850</xdr:colOff>
          <xdr:row>36</xdr:row>
          <xdr:rowOff>47625</xdr:rowOff>
        </xdr:to>
        <xdr:sp macro="" textlink="">
          <xdr:nvSpPr>
            <xdr:cNvPr id="10242" name="Check Box 2" descr="Identisch zu den Angaben auf dem Blatt &quot;Start&quot;"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38</xdr:row>
          <xdr:rowOff>142875</xdr:rowOff>
        </xdr:from>
        <xdr:to>
          <xdr:col>2</xdr:col>
          <xdr:colOff>1838325</xdr:colOff>
          <xdr:row>40</xdr:row>
          <xdr:rowOff>47625</xdr:rowOff>
        </xdr:to>
        <xdr:sp macro="" textlink="">
          <xdr:nvSpPr>
            <xdr:cNvPr id="10243" name="Check Box 3" descr="Identisch zu den Angaben auf dem Blatt &quot;Start&quot;" hidden="1">
              <a:extLst>
                <a:ext uri="{63B3BB69-23CF-44E3-9099-C40C66FF867C}">
                  <a14:compatExt spid="_x0000_s10243"/>
                </a:ext>
                <a:ext uri="{FF2B5EF4-FFF2-40B4-BE49-F238E27FC236}">
                  <a16:creationId xmlns:a16="http://schemas.microsoft.com/office/drawing/2014/main" id="{00000000-0008-0000-04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Identisch zu Angaben auf Blatt Start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30</xdr:row>
          <xdr:rowOff>161925</xdr:rowOff>
        </xdr:from>
        <xdr:to>
          <xdr:col>2</xdr:col>
          <xdr:colOff>1857375</xdr:colOff>
          <xdr:row>32</xdr:row>
          <xdr:rowOff>19050</xdr:rowOff>
        </xdr:to>
        <xdr:sp macro="" textlink="">
          <xdr:nvSpPr>
            <xdr:cNvPr id="10244" name="Check Box 4" descr="Identisch zu den Angaben auf dem Blatt &quot;Start&quot;"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rPr>
                <a:t>Defaultwerte verwenden</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13</xdr:col>
      <xdr:colOff>618444</xdr:colOff>
      <xdr:row>1</xdr:row>
      <xdr:rowOff>114831</xdr:rowOff>
    </xdr:from>
    <xdr:to>
      <xdr:col>18</xdr:col>
      <xdr:colOff>260350</xdr:colOff>
      <xdr:row>4</xdr:row>
      <xdr:rowOff>105749</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a:srcRect l="2084" t="36534" r="2082" b="37061"/>
        <a:stretch/>
      </xdr:blipFill>
      <xdr:spPr>
        <a:xfrm>
          <a:off x="13058094" y="311681"/>
          <a:ext cx="3388406" cy="581468"/>
        </a:xfrm>
        <a:prstGeom prst="rect">
          <a:avLst/>
        </a:prstGeom>
      </xdr:spPr>
    </xdr:pic>
    <xdr:clientData/>
  </xdr:twoCellAnchor>
  <xdr:twoCellAnchor editAs="oneCell">
    <xdr:from>
      <xdr:col>0</xdr:col>
      <xdr:colOff>31749</xdr:colOff>
      <xdr:row>1</xdr:row>
      <xdr:rowOff>42326</xdr:rowOff>
    </xdr:from>
    <xdr:to>
      <xdr:col>8</xdr:col>
      <xdr:colOff>28958</xdr:colOff>
      <xdr:row>4</xdr:row>
      <xdr:rowOff>179923</xdr:rowOff>
    </xdr:to>
    <xdr:pic>
      <xdr:nvPicPr>
        <xdr:cNvPr id="3" name="Grafik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1749" y="246433"/>
          <a:ext cx="8297566" cy="7499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reeze-weiss-v8">
  <a:themeElements>
    <a:clrScheme name="Benutzerdefiniert 2">
      <a:dk1>
        <a:srgbClr val="213138"/>
      </a:dk1>
      <a:lt1>
        <a:srgbClr val="F5F4F3"/>
      </a:lt1>
      <a:dk2>
        <a:srgbClr val="41545D"/>
      </a:dk2>
      <a:lt2>
        <a:srgbClr val="BCDADE"/>
      </a:lt2>
      <a:accent1>
        <a:srgbClr val="229DCE"/>
      </a:accent1>
      <a:accent2>
        <a:srgbClr val="A0003A"/>
      </a:accent2>
      <a:accent3>
        <a:srgbClr val="E47823"/>
      </a:accent3>
      <a:accent4>
        <a:srgbClr val="62AED5"/>
      </a:accent4>
      <a:accent5>
        <a:srgbClr val="CA6E78"/>
      </a:accent5>
      <a:accent6>
        <a:srgbClr val="F1B573"/>
      </a:accent6>
      <a:hlink>
        <a:srgbClr val="A0003A"/>
      </a:hlink>
      <a:folHlink>
        <a:srgbClr val="E47823"/>
      </a:folHlink>
    </a:clrScheme>
    <a:fontScheme name="Larissa">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vmlDrawing" Target="../drawings/vmlDrawing1.vml"/><Relationship Id="rId7" Type="http://schemas.openxmlformats.org/officeDocument/2006/relationships/ctrlProp" Target="../ctrlProps/ctrlProp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3.vml"/><Relationship Id="rId7" Type="http://schemas.openxmlformats.org/officeDocument/2006/relationships/ctrlProp" Target="../ctrlProps/ctrlProp7.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5.vml"/><Relationship Id="rId7" Type="http://schemas.openxmlformats.org/officeDocument/2006/relationships/ctrlProp" Target="../ctrlProps/ctrlProp1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vmlDrawing" Target="../drawings/vmlDrawing6.v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7.vml"/><Relationship Id="rId7" Type="http://schemas.openxmlformats.org/officeDocument/2006/relationships/ctrlProp" Target="../ctrlProps/ctrlProp1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vmlDrawing" Target="../drawings/vmlDrawing8.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fitToPage="1"/>
  </sheetPr>
  <dimension ref="B4:AB74"/>
  <sheetViews>
    <sheetView showGridLines="0" tabSelected="1" zoomScale="115" zoomScaleNormal="115" workbookViewId="0">
      <selection activeCell="N12" sqref="N12:P12"/>
    </sheetView>
  </sheetViews>
  <sheetFormatPr baseColWidth="10" defaultColWidth="11.42578125" defaultRowHeight="12.75"/>
  <cols>
    <col min="1" max="1" width="6.28515625" style="1" customWidth="1"/>
    <col min="2" max="2" width="21" style="1" customWidth="1"/>
    <col min="3" max="3" width="17.42578125" style="1" customWidth="1"/>
    <col min="4" max="4" width="10.85546875" style="1" customWidth="1"/>
    <col min="5" max="5" width="17.42578125" style="1" customWidth="1"/>
    <col min="6" max="6" width="2.140625" style="1" customWidth="1"/>
    <col min="7" max="7" width="8.85546875" style="1" customWidth="1"/>
    <col min="8" max="8" width="12.5703125" style="1" customWidth="1"/>
    <col min="9" max="9" width="6.140625" style="1" customWidth="1"/>
    <col min="10" max="10" width="5.5703125" style="1" customWidth="1"/>
    <col min="11" max="11" width="6.140625" style="1" customWidth="1"/>
    <col min="12" max="12" width="1.28515625" style="1" customWidth="1"/>
    <col min="13" max="13" width="17.140625" style="1" customWidth="1"/>
    <col min="14" max="14" width="14" style="1" customWidth="1"/>
    <col min="15" max="15" width="13.28515625" style="1" customWidth="1"/>
    <col min="16" max="16" width="16.140625" style="1" customWidth="1"/>
    <col min="17" max="17" width="3.5703125" style="1" customWidth="1"/>
    <col min="18" max="18" width="16.28515625" style="1" customWidth="1"/>
    <col min="19" max="19" width="19.7109375" style="1" customWidth="1"/>
    <col min="20" max="20" width="9.28515625" style="1" customWidth="1"/>
    <col min="21" max="21" width="8.140625" style="1" customWidth="1"/>
    <col min="22" max="22" width="1.7109375" style="1" customWidth="1"/>
    <col min="23" max="23" width="11.42578125" style="1"/>
    <col min="24" max="24" width="17.5703125" style="1" hidden="1" customWidth="1"/>
    <col min="25" max="28" width="11.42578125" style="1" hidden="1" customWidth="1"/>
    <col min="29" max="16384" width="11.42578125" style="1"/>
  </cols>
  <sheetData>
    <row r="4" spans="2:28" ht="21.75" customHeight="1">
      <c r="F4" s="261" t="s">
        <v>0</v>
      </c>
      <c r="G4" s="262" t="str">
        <f>Version</f>
        <v>1.3</v>
      </c>
      <c r="H4" s="263">
        <f>VersionsDatum</f>
        <v>45229</v>
      </c>
    </row>
    <row r="8" spans="2:28" ht="15">
      <c r="B8" s="2"/>
      <c r="K8" s="309"/>
      <c r="L8" s="309"/>
      <c r="M8" s="309"/>
      <c r="N8" s="309"/>
      <c r="O8" s="309"/>
      <c r="P8" s="309"/>
      <c r="Q8" s="309"/>
      <c r="R8" s="309"/>
      <c r="S8" s="309"/>
      <c r="T8" s="309"/>
      <c r="U8" s="309"/>
      <c r="V8" s="309"/>
      <c r="W8" s="309"/>
    </row>
    <row r="9" spans="2:28" ht="20.100000000000001" customHeight="1">
      <c r="B9" s="12" t="s">
        <v>34</v>
      </c>
      <c r="C9" s="306"/>
      <c r="D9" s="307"/>
      <c r="E9" s="306"/>
      <c r="F9" s="306"/>
      <c r="G9" s="306"/>
      <c r="H9" s="306"/>
      <c r="I9" s="306"/>
      <c r="J9" s="306"/>
      <c r="K9" s="309"/>
      <c r="L9" s="308"/>
      <c r="M9" s="308" t="s">
        <v>291</v>
      </c>
      <c r="N9" s="308"/>
      <c r="O9" s="308"/>
      <c r="P9" s="308"/>
      <c r="Q9" s="308"/>
      <c r="R9" s="308"/>
      <c r="S9" s="308"/>
      <c r="T9" s="308"/>
      <c r="U9" s="308"/>
      <c r="V9" s="308"/>
      <c r="W9" s="309"/>
      <c r="X9" s="308" t="s">
        <v>235</v>
      </c>
      <c r="Y9" s="308"/>
      <c r="Z9" s="308"/>
      <c r="AA9" s="308"/>
      <c r="AB9" s="308"/>
    </row>
    <row r="10" spans="2:28" ht="4.5" customHeight="1">
      <c r="K10" s="309"/>
      <c r="L10" s="309"/>
      <c r="M10" s="309"/>
      <c r="N10" s="309"/>
      <c r="O10" s="309"/>
      <c r="P10" s="309"/>
      <c r="Q10" s="309"/>
      <c r="R10" s="309"/>
      <c r="S10" s="309"/>
      <c r="T10" s="309"/>
      <c r="U10" s="309"/>
      <c r="V10" s="309"/>
      <c r="W10" s="309"/>
    </row>
    <row r="11" spans="2:28" ht="5.0999999999999996" customHeight="1">
      <c r="K11" s="309"/>
      <c r="L11" s="302"/>
      <c r="M11" s="300"/>
      <c r="N11" s="300"/>
      <c r="O11" s="300"/>
      <c r="P11" s="300"/>
      <c r="Q11" s="300"/>
      <c r="R11" s="300"/>
      <c r="S11" s="300"/>
      <c r="T11" s="300"/>
      <c r="U11" s="300"/>
      <c r="V11" s="302"/>
      <c r="W11" s="309"/>
    </row>
    <row r="12" spans="2:28" ht="18" customHeight="1">
      <c r="K12" s="309"/>
      <c r="L12" s="302"/>
      <c r="M12" s="305" t="s">
        <v>32</v>
      </c>
      <c r="N12" s="465"/>
      <c r="O12" s="465"/>
      <c r="P12" s="465"/>
      <c r="Q12" s="300"/>
      <c r="R12" s="305" t="s">
        <v>230</v>
      </c>
      <c r="S12" s="465"/>
      <c r="T12" s="465"/>
      <c r="U12" s="465"/>
      <c r="V12" s="302"/>
      <c r="W12" s="309"/>
    </row>
    <row r="13" spans="2:28" ht="5.0999999999999996" customHeight="1">
      <c r="K13" s="309"/>
      <c r="L13" s="302"/>
      <c r="M13" s="305"/>
      <c r="N13" s="300"/>
      <c r="O13" s="300"/>
      <c r="P13" s="300"/>
      <c r="Q13" s="300"/>
      <c r="R13" s="302"/>
      <c r="S13" s="302"/>
      <c r="T13" s="302"/>
      <c r="U13" s="302"/>
      <c r="V13" s="302"/>
      <c r="W13" s="309"/>
    </row>
    <row r="14" spans="2:28" ht="18" customHeight="1">
      <c r="K14" s="309"/>
      <c r="L14" s="302"/>
      <c r="M14" s="305" t="s">
        <v>164</v>
      </c>
      <c r="N14" s="465"/>
      <c r="O14" s="465"/>
      <c r="P14" s="465"/>
      <c r="Q14" s="300"/>
      <c r="R14" s="305" t="s">
        <v>54</v>
      </c>
      <c r="S14" s="465"/>
      <c r="T14" s="465"/>
      <c r="U14" s="465"/>
      <c r="V14" s="302"/>
      <c r="W14" s="309"/>
    </row>
    <row r="15" spans="2:28" ht="5.0999999999999996" customHeight="1">
      <c r="K15" s="309"/>
      <c r="L15" s="302"/>
      <c r="M15" s="305"/>
      <c r="N15" s="300"/>
      <c r="O15" s="300"/>
      <c r="P15" s="300"/>
      <c r="Q15" s="300"/>
      <c r="R15" s="305"/>
      <c r="S15" s="300"/>
      <c r="T15" s="300"/>
      <c r="U15" s="300"/>
      <c r="V15" s="302"/>
      <c r="W15" s="309"/>
    </row>
    <row r="16" spans="2:28" ht="18" customHeight="1">
      <c r="K16" s="309"/>
      <c r="L16" s="302"/>
      <c r="M16" s="305" t="s">
        <v>33</v>
      </c>
      <c r="N16" s="465"/>
      <c r="O16" s="465"/>
      <c r="P16" s="465"/>
      <c r="Q16" s="300"/>
      <c r="R16" s="305" t="s">
        <v>55</v>
      </c>
      <c r="S16" s="465"/>
      <c r="T16" s="465"/>
      <c r="U16" s="465"/>
      <c r="V16" s="302"/>
      <c r="W16" s="309"/>
    </row>
    <row r="17" spans="11:28" ht="5.0999999999999996" customHeight="1">
      <c r="K17" s="309"/>
      <c r="L17" s="302"/>
      <c r="M17" s="302"/>
      <c r="N17" s="302"/>
      <c r="O17" s="302"/>
      <c r="P17" s="302"/>
      <c r="Q17" s="302"/>
      <c r="R17" s="302"/>
      <c r="S17" s="302"/>
      <c r="T17" s="302"/>
      <c r="U17" s="302"/>
      <c r="V17" s="302"/>
      <c r="W17" s="309"/>
    </row>
    <row r="18" spans="11:28" ht="20.100000000000001" customHeight="1">
      <c r="K18" s="309"/>
      <c r="L18" s="309"/>
      <c r="M18" s="309"/>
      <c r="N18" s="309"/>
      <c r="O18" s="309"/>
      <c r="P18" s="309"/>
      <c r="Q18" s="309"/>
      <c r="R18" s="309"/>
      <c r="S18" s="309"/>
      <c r="T18" s="309"/>
      <c r="U18" s="309"/>
      <c r="V18" s="309"/>
      <c r="W18" s="309"/>
      <c r="Y18" s="396" t="s">
        <v>16</v>
      </c>
      <c r="Z18" s="396" t="s">
        <v>372</v>
      </c>
      <c r="AA18" s="396" t="s">
        <v>373</v>
      </c>
      <c r="AB18" s="396" t="s">
        <v>374</v>
      </c>
    </row>
    <row r="19" spans="11:28" ht="20.100000000000001" customHeight="1">
      <c r="K19" s="309"/>
      <c r="L19" s="302"/>
      <c r="M19" s="308" t="s">
        <v>245</v>
      </c>
      <c r="N19" s="302"/>
      <c r="O19" s="302"/>
      <c r="P19" s="302"/>
      <c r="Q19" s="302"/>
      <c r="R19" s="308" t="s">
        <v>292</v>
      </c>
      <c r="S19" s="308"/>
      <c r="T19" s="308"/>
      <c r="U19" s="308"/>
      <c r="V19" s="308"/>
      <c r="W19" s="309"/>
      <c r="X19" s="392" t="s">
        <v>175</v>
      </c>
      <c r="Y19" s="395">
        <f>SUM(Y22,Y24,Y26)</f>
        <v>0</v>
      </c>
      <c r="Z19" s="394">
        <f>SUM(Z22,Z24,Z26)</f>
        <v>0</v>
      </c>
      <c r="AA19" s="394">
        <f>SUM(AA22,AA24,AA26)</f>
        <v>0</v>
      </c>
      <c r="AB19" s="393">
        <f>SUM(AB22,AB24,AB26)</f>
        <v>0</v>
      </c>
    </row>
    <row r="20" spans="11:28" ht="5.0999999999999996" customHeight="1">
      <c r="K20" s="309"/>
      <c r="L20" s="310"/>
      <c r="M20" s="311"/>
      <c r="N20" s="310"/>
      <c r="O20" s="310"/>
      <c r="P20" s="310"/>
      <c r="Q20" s="310"/>
      <c r="R20" s="310"/>
      <c r="S20" s="310"/>
      <c r="T20" s="310"/>
      <c r="U20" s="310"/>
      <c r="V20" s="310"/>
      <c r="W20" s="309"/>
    </row>
    <row r="21" spans="11:28" ht="5.0999999999999996" customHeight="1">
      <c r="K21" s="309"/>
      <c r="L21" s="302"/>
      <c r="M21" s="302"/>
      <c r="N21" s="302"/>
      <c r="O21" s="302"/>
      <c r="P21" s="302"/>
      <c r="Q21" s="302"/>
      <c r="R21" s="302"/>
      <c r="S21" s="302"/>
      <c r="T21" s="302"/>
      <c r="U21" s="312"/>
      <c r="V21" s="302"/>
      <c r="W21" s="309"/>
    </row>
    <row r="22" spans="11:28" s="298" customFormat="1" ht="18" customHeight="1">
      <c r="K22" s="313"/>
      <c r="L22" s="302"/>
      <c r="M22" s="305" t="s">
        <v>232</v>
      </c>
      <c r="N22" s="387"/>
      <c r="O22" s="389" t="s">
        <v>358</v>
      </c>
      <c r="P22" s="390">
        <f>IF(OR(MatEffS&gt;GWOMatEff,MatEffS&lt;GWUMatEff),DefMatEff,MatEffS)</f>
        <v>0.8</v>
      </c>
      <c r="Q22" s="302"/>
      <c r="R22" s="305" t="s">
        <v>294</v>
      </c>
      <c r="S22" s="444"/>
      <c r="T22" s="314" t="s">
        <v>323</v>
      </c>
      <c r="U22" s="445"/>
      <c r="V22" s="302"/>
      <c r="W22" s="313"/>
      <c r="Y22" s="298">
        <f>IFERROR(VLOOKUP($S22,MxEnergieS,4,FALSE)*U22,0)</f>
        <v>0</v>
      </c>
      <c r="Z22" s="298">
        <f>IFERROR(VLOOKUP($S22,MxEnergieS,6,FALSE)*U22,0)</f>
        <v>0</v>
      </c>
      <c r="AA22" s="298">
        <f>IFERROR(VLOOKUP($S22,MxEnergieS,7,FALSE)*U22,0)</f>
        <v>0</v>
      </c>
      <c r="AB22" s="298">
        <f>IFERROR(VLOOKUP($S22,MxEnergieS,9,FALSE)*U22,0)</f>
        <v>0</v>
      </c>
    </row>
    <row r="23" spans="11:28" ht="5.0999999999999996" customHeight="1">
      <c r="K23" s="309"/>
      <c r="L23" s="302"/>
      <c r="M23" s="305"/>
      <c r="N23" s="302"/>
      <c r="O23" s="302"/>
      <c r="P23" s="302"/>
      <c r="Q23" s="302"/>
      <c r="R23" s="305"/>
      <c r="S23" s="312"/>
      <c r="T23" s="305"/>
      <c r="U23" s="312"/>
      <c r="V23" s="312"/>
      <c r="W23" s="309"/>
    </row>
    <row r="24" spans="11:28" ht="18" customHeight="1">
      <c r="K24" s="309"/>
      <c r="L24" s="302"/>
      <c r="M24" s="305" t="s">
        <v>233</v>
      </c>
      <c r="N24" s="388"/>
      <c r="O24" s="389" t="s">
        <v>358</v>
      </c>
      <c r="P24" s="391">
        <f>IF(OR(EnStromS&gt;GWOEnStrom,EnStromS&lt;GWUEnStrom),DefEnStrom,EnStromS)</f>
        <v>0.8</v>
      </c>
      <c r="Q24" s="300"/>
      <c r="R24" s="305" t="s">
        <v>297</v>
      </c>
      <c r="S24" s="444"/>
      <c r="T24" s="314" t="s">
        <v>323</v>
      </c>
      <c r="U24" s="446"/>
      <c r="V24" s="302"/>
      <c r="W24" s="309"/>
      <c r="Y24" s="298">
        <f>IFERROR(VLOOKUP($S24,MxEnergieS,4,FALSE)*U24,0)</f>
        <v>0</v>
      </c>
      <c r="Z24" s="298">
        <f>IFERROR(VLOOKUP($S24,MxEnergieS,6,FALSE)*U24,0)</f>
        <v>0</v>
      </c>
      <c r="AA24" s="298">
        <f>IFERROR(VLOOKUP($S24,MxEnergieS,7,FALSE)*U24,0)</f>
        <v>0</v>
      </c>
      <c r="AB24" s="298">
        <f>IFERROR(VLOOKUP($S24,MxEnergieS,9,FALSE)*U24,0)</f>
        <v>0</v>
      </c>
    </row>
    <row r="25" spans="11:28" ht="5.0999999999999996" customHeight="1">
      <c r="K25" s="309"/>
      <c r="L25" s="302"/>
      <c r="M25" s="305"/>
      <c r="N25" s="300"/>
      <c r="O25" s="300"/>
      <c r="P25" s="300"/>
      <c r="Q25" s="300"/>
      <c r="R25" s="305"/>
      <c r="S25" s="312"/>
      <c r="T25" s="305"/>
      <c r="U25" s="312"/>
      <c r="V25" s="302"/>
      <c r="W25" s="309"/>
    </row>
    <row r="26" spans="11:28" ht="18" customHeight="1">
      <c r="K26" s="309"/>
      <c r="L26" s="302"/>
      <c r="M26" s="305" t="s">
        <v>234</v>
      </c>
      <c r="N26" s="388"/>
      <c r="O26" s="389" t="s">
        <v>358</v>
      </c>
      <c r="P26" s="391">
        <f>IF(OR(EnWaermeS&gt;GWOEnWaerme,EnWaermeS&lt;GWUEnWaerme),DefEnWaerme,EnWaermeS)</f>
        <v>1.4</v>
      </c>
      <c r="Q26" s="300"/>
      <c r="R26" s="305" t="s">
        <v>298</v>
      </c>
      <c r="S26" s="444"/>
      <c r="T26" s="314" t="s">
        <v>323</v>
      </c>
      <c r="U26" s="446"/>
      <c r="V26" s="302"/>
      <c r="W26" s="309"/>
      <c r="Y26" s="298">
        <f>IFERROR(VLOOKUP($S26,MxEnergieS,4,FALSE)*U26,0)</f>
        <v>0</v>
      </c>
      <c r="Z26" s="298">
        <f>IFERROR(VLOOKUP($S26,MxEnergieS,6,FALSE)*U26,0)</f>
        <v>0</v>
      </c>
      <c r="AA26" s="298">
        <f>IFERROR(VLOOKUP($S26,MxEnergieS,7,FALSE)*U26,0)</f>
        <v>0</v>
      </c>
      <c r="AB26" s="298">
        <f>IFERROR(VLOOKUP($S26,MxEnergieS,9,FALSE)*U26,0)</f>
        <v>0</v>
      </c>
    </row>
    <row r="27" spans="11:28" ht="13.5" customHeight="1">
      <c r="K27" s="309"/>
      <c r="L27" s="300"/>
      <c r="M27" s="300"/>
      <c r="N27" s="300"/>
      <c r="O27" s="300"/>
      <c r="P27" s="300"/>
      <c r="Q27" s="300"/>
      <c r="R27" s="312"/>
      <c r="S27" s="312"/>
      <c r="T27" s="312"/>
      <c r="U27" s="335" t="str">
        <f>IF(SUM(U22,U24,U26)&lt;1,DeklAnteilNotOK,DeklAnteilOK)</f>
        <v>Fehler: Summe der Anteile &lt;&gt;100%</v>
      </c>
      <c r="V27" s="302"/>
      <c r="W27" s="309"/>
      <c r="X27" s="392" t="s">
        <v>175</v>
      </c>
      <c r="Y27" s="395">
        <f>SUM(Y28,Y30,Y32)</f>
        <v>0</v>
      </c>
      <c r="Z27" s="394">
        <f t="shared" ref="Z27:AB27" si="0">SUM(Z28,Z30,Z32)</f>
        <v>0</v>
      </c>
      <c r="AA27" s="394">
        <f t="shared" si="0"/>
        <v>0</v>
      </c>
      <c r="AB27" s="393">
        <f t="shared" si="0"/>
        <v>0</v>
      </c>
    </row>
    <row r="28" spans="11:28" ht="18" customHeight="1">
      <c r="K28" s="309"/>
      <c r="L28" s="300"/>
      <c r="M28" s="300" t="s">
        <v>371</v>
      </c>
      <c r="N28" s="457" t="str">
        <f>IF(OR(COUNTIF(Y19:AA19,0)&gt;0,S22="",SUM(U22,U24,U26)&lt;&gt;1),DeklEnMixSnotOK,DeklEnMixSOK)</f>
        <v>Deklarierter Energiemix Strom unplausibel. Defaultwerte werden verwendet.</v>
      </c>
      <c r="O28" s="457"/>
      <c r="P28" s="457"/>
      <c r="Q28" s="300"/>
      <c r="R28" s="305" t="s">
        <v>293</v>
      </c>
      <c r="S28" s="444"/>
      <c r="T28" s="314" t="s">
        <v>323</v>
      </c>
      <c r="U28" s="446"/>
      <c r="V28" s="302"/>
      <c r="W28" s="309"/>
      <c r="Y28" s="298">
        <f>IFERROR(VLOOKUP($S28,MxEnergieW,4,FALSE)*U28,0)</f>
        <v>0</v>
      </c>
      <c r="Z28" s="298">
        <f>IFERROR(VLOOKUP($S28,MxEnergieW,6,FALSE)*U28,0)</f>
        <v>0</v>
      </c>
      <c r="AA28" s="298">
        <f>IFERROR(VLOOKUP($S28,MxEnergieW,7,FALSE)*U28,0)</f>
        <v>0</v>
      </c>
      <c r="AB28" s="298">
        <f>IFERROR(VLOOKUP($S28,MxEnergieW,9,FALSE)*U28,0)</f>
        <v>0</v>
      </c>
    </row>
    <row r="29" spans="11:28" ht="7.5" customHeight="1">
      <c r="K29" s="309"/>
      <c r="L29" s="300"/>
      <c r="M29" s="300"/>
      <c r="N29" s="457"/>
      <c r="O29" s="457"/>
      <c r="P29" s="457"/>
      <c r="Q29" s="300"/>
      <c r="R29" s="305"/>
      <c r="S29" s="312"/>
      <c r="T29" s="305"/>
      <c r="U29" s="312"/>
      <c r="V29" s="302"/>
      <c r="W29" s="309"/>
    </row>
    <row r="30" spans="11:28" ht="18" customHeight="1">
      <c r="K30" s="309"/>
      <c r="L30" s="300"/>
      <c r="M30" s="300" t="s">
        <v>398</v>
      </c>
      <c r="N30" s="457" t="str">
        <f>IF(OR(COUNTIF(Y27:AA27,0)&gt;0,S28="",SUM(U28,U30,U32)&lt;&gt;1),DeklEnMixWnotOK,DeklEnMixWOK)</f>
        <v>Deklarierter Energiemix Wärme unplausibel. Defaultwerte werden verwendet.</v>
      </c>
      <c r="O30" s="457"/>
      <c r="P30" s="457"/>
      <c r="Q30" s="300"/>
      <c r="R30" s="305" t="s">
        <v>295</v>
      </c>
      <c r="S30" s="444"/>
      <c r="T30" s="314" t="s">
        <v>323</v>
      </c>
      <c r="U30" s="446"/>
      <c r="V30" s="302"/>
      <c r="W30" s="309"/>
      <c r="Y30" s="298">
        <f>IFERROR(VLOOKUP($S30,MxEnergieW,4,FALSE)*U30,0)</f>
        <v>0</v>
      </c>
      <c r="Z30" s="298">
        <f>IFERROR(VLOOKUP($S30,MxEnergieW,6,FALSE)*U30,0)</f>
        <v>0</v>
      </c>
      <c r="AA30" s="298">
        <f>IFERROR(VLOOKUP($S30,MxEnergieW,7,FALSE)*U30,0)</f>
        <v>0</v>
      </c>
      <c r="AB30" s="298">
        <f>IFERROR(VLOOKUP($S30,MxEnergieW,9,FALSE)*U30,0)</f>
        <v>0</v>
      </c>
    </row>
    <row r="31" spans="11:28" ht="8.25" customHeight="1">
      <c r="K31" s="309"/>
      <c r="L31" s="300"/>
      <c r="M31" s="300"/>
      <c r="N31" s="457"/>
      <c r="O31" s="457"/>
      <c r="P31" s="457"/>
      <c r="Q31" s="300"/>
      <c r="R31" s="305"/>
      <c r="S31" s="312"/>
      <c r="T31" s="305"/>
      <c r="U31" s="312"/>
      <c r="V31" s="302"/>
      <c r="W31" s="309"/>
    </row>
    <row r="32" spans="11:28" ht="18" customHeight="1">
      <c r="K32" s="309"/>
      <c r="L32" s="300"/>
      <c r="M32" s="300"/>
      <c r="N32" s="300"/>
      <c r="O32" s="300"/>
      <c r="P32" s="300"/>
      <c r="Q32" s="300"/>
      <c r="R32" s="305" t="s">
        <v>296</v>
      </c>
      <c r="S32" s="444"/>
      <c r="T32" s="314" t="s">
        <v>323</v>
      </c>
      <c r="U32" s="446"/>
      <c r="V32" s="302"/>
      <c r="W32" s="309"/>
      <c r="Y32" s="298">
        <f>IFERROR(VLOOKUP($S32,MxEnergieW,4,FALSE)*U32,0)</f>
        <v>0</v>
      </c>
      <c r="Z32" s="298">
        <f>IFERROR(VLOOKUP($S32,MxEnergieW,6,FALSE)*U32,0)</f>
        <v>0</v>
      </c>
      <c r="AA32" s="298">
        <f>IFERROR(VLOOKUP($S32,MxEnergieW,7,FALSE)*U32,0)</f>
        <v>0</v>
      </c>
      <c r="AB32" s="298">
        <f>IFERROR(VLOOKUP($S32,MxEnergieW,9,FALSE)*U32,0)</f>
        <v>0</v>
      </c>
    </row>
    <row r="33" spans="11:28" ht="14.25" customHeight="1">
      <c r="K33" s="309"/>
      <c r="L33" s="300"/>
      <c r="M33" s="300"/>
      <c r="N33" s="300"/>
      <c r="O33" s="300"/>
      <c r="P33" s="300"/>
      <c r="Q33" s="300"/>
      <c r="R33" s="312"/>
      <c r="S33" s="312"/>
      <c r="T33" s="312"/>
      <c r="U33" s="335" t="str">
        <f>IF(SUM(U28,U30,U32)&lt;1,DeklAnteilNotOK,DeklAnteilOK)</f>
        <v>Fehler: Summe der Anteile &lt;&gt;100%</v>
      </c>
      <c r="V33" s="302"/>
      <c r="W33" s="309"/>
    </row>
    <row r="34" spans="11:28" s="298" customFormat="1" ht="20.100000000000001" customHeight="1">
      <c r="K34" s="313"/>
      <c r="L34" s="301"/>
      <c r="M34" s="301"/>
      <c r="N34" s="301"/>
      <c r="O34" s="301"/>
      <c r="P34" s="301"/>
      <c r="Q34" s="301"/>
      <c r="R34" s="313"/>
      <c r="S34" s="313"/>
      <c r="T34" s="313"/>
      <c r="U34" s="313"/>
      <c r="V34" s="313"/>
      <c r="W34" s="313"/>
      <c r="X34" s="402" t="s">
        <v>377</v>
      </c>
      <c r="Y34" s="411">
        <f>Y19*DefEnStromS</f>
        <v>0</v>
      </c>
      <c r="Z34" s="415">
        <f>Z19*DefEnStromS</f>
        <v>0</v>
      </c>
      <c r="AA34" s="415">
        <f>AA19*DefEnStromS</f>
        <v>0</v>
      </c>
      <c r="AB34" s="413">
        <f>AB19*DefEnStromS</f>
        <v>0</v>
      </c>
    </row>
    <row r="35" spans="11:28" ht="20.100000000000001" customHeight="1">
      <c r="K35" s="309"/>
      <c r="L35" s="302"/>
      <c r="M35" s="308" t="s">
        <v>171</v>
      </c>
      <c r="N35" s="302"/>
      <c r="O35" s="302"/>
      <c r="P35" s="302"/>
      <c r="Q35" s="302"/>
      <c r="R35" s="302"/>
      <c r="S35" s="302"/>
      <c r="T35" s="302"/>
      <c r="U35" s="302"/>
      <c r="V35" s="302"/>
      <c r="W35" s="309"/>
      <c r="X35" s="392" t="s">
        <v>378</v>
      </c>
      <c r="Y35" s="412">
        <f>Y27*DefEnWaermeS</f>
        <v>0</v>
      </c>
      <c r="Z35" s="416">
        <f>Z27*DefEnWaermeS</f>
        <v>0</v>
      </c>
      <c r="AA35" s="416">
        <f>AA27*DefEnWaermeS</f>
        <v>0</v>
      </c>
      <c r="AB35" s="414">
        <f>AB27*DefEnWaermeS</f>
        <v>0</v>
      </c>
    </row>
    <row r="36" spans="11:28" ht="5.0999999999999996" customHeight="1">
      <c r="K36" s="309"/>
      <c r="L36" s="310"/>
      <c r="M36" s="310"/>
      <c r="N36" s="311"/>
      <c r="O36" s="310"/>
      <c r="P36" s="310"/>
      <c r="Q36" s="310"/>
      <c r="R36" s="310"/>
      <c r="S36" s="310"/>
      <c r="T36" s="310"/>
      <c r="U36" s="310"/>
      <c r="V36" s="310"/>
      <c r="W36" s="309"/>
    </row>
    <row r="37" spans="11:28" ht="5.0999999999999996" customHeight="1">
      <c r="K37" s="309"/>
      <c r="L37" s="302"/>
      <c r="M37" s="302"/>
      <c r="N37" s="302"/>
      <c r="O37" s="302"/>
      <c r="P37" s="302"/>
      <c r="Q37" s="302"/>
      <c r="R37" s="302"/>
      <c r="S37" s="302"/>
      <c r="T37" s="302"/>
      <c r="U37" s="302"/>
      <c r="V37" s="302"/>
      <c r="W37" s="309"/>
    </row>
    <row r="38" spans="11:28" ht="18" customHeight="1">
      <c r="K38" s="309"/>
      <c r="L38" s="302"/>
      <c r="M38" s="305" t="s">
        <v>231</v>
      </c>
      <c r="N38" s="455"/>
      <c r="O38" s="455"/>
      <c r="P38" s="455"/>
      <c r="Q38" s="455"/>
      <c r="R38" s="455"/>
      <c r="S38" s="455"/>
      <c r="T38" s="455"/>
      <c r="U38" s="455"/>
      <c r="V38" s="302"/>
      <c r="W38" s="309"/>
    </row>
    <row r="39" spans="11:28" ht="5.0999999999999996" customHeight="1">
      <c r="K39" s="309"/>
      <c r="L39" s="302"/>
      <c r="M39" s="302"/>
      <c r="N39" s="302"/>
      <c r="O39" s="302"/>
      <c r="P39" s="302"/>
      <c r="Q39" s="302"/>
      <c r="R39" s="302"/>
      <c r="S39" s="302"/>
      <c r="T39" s="302"/>
      <c r="U39" s="302"/>
      <c r="V39" s="302"/>
      <c r="W39" s="309"/>
    </row>
    <row r="40" spans="11:28" ht="18" customHeight="1">
      <c r="K40" s="309"/>
      <c r="L40" s="302"/>
      <c r="M40" s="305" t="s">
        <v>3</v>
      </c>
      <c r="N40" s="456"/>
      <c r="O40" s="456"/>
      <c r="P40" s="456"/>
      <c r="Q40" s="456"/>
      <c r="R40" s="456"/>
      <c r="S40" s="456"/>
      <c r="T40" s="456"/>
      <c r="U40" s="456"/>
      <c r="V40" s="302"/>
      <c r="W40" s="309"/>
      <c r="X40" s="1" t="s">
        <v>399</v>
      </c>
      <c r="Y40" s="417">
        <f>IF($N28=DeklEnMixSOK,Y19,Konstanten!C42)</f>
        <v>598.54</v>
      </c>
      <c r="Z40" s="416">
        <f>IF($N28=DeklEnMixSOK,Z19,Konstanten!D42)</f>
        <v>0.63600000000000001</v>
      </c>
      <c r="AA40" s="416">
        <f>IF($N28=DeklEnMixSOK,AA19,Konstanten!E42)</f>
        <v>1.7452799999999999</v>
      </c>
      <c r="AB40" s="414">
        <f>IF($N28=DeklEnMixSOK,AB19,Konstanten!F42)</f>
        <v>0.32163999999999998</v>
      </c>
    </row>
    <row r="41" spans="11:28" ht="5.0999999999999996" customHeight="1">
      <c r="K41" s="309"/>
      <c r="L41" s="302"/>
      <c r="M41" s="300"/>
      <c r="N41" s="300"/>
      <c r="O41" s="300"/>
      <c r="P41" s="300"/>
      <c r="Q41" s="300"/>
      <c r="R41" s="300"/>
      <c r="S41" s="300"/>
      <c r="T41" s="300"/>
      <c r="U41" s="300"/>
      <c r="V41" s="302"/>
      <c r="W41" s="309"/>
      <c r="Y41" s="417"/>
      <c r="Z41" s="416"/>
      <c r="AA41" s="416"/>
      <c r="AB41" s="414"/>
    </row>
    <row r="42" spans="11:28" s="298" customFormat="1" ht="20.100000000000001" customHeight="1">
      <c r="K42" s="313"/>
      <c r="L42" s="313"/>
      <c r="M42" s="301"/>
      <c r="N42" s="301"/>
      <c r="O42" s="301"/>
      <c r="P42" s="301"/>
      <c r="Q42" s="301"/>
      <c r="R42" s="301"/>
      <c r="S42" s="313"/>
      <c r="T42" s="313"/>
      <c r="U42" s="313"/>
      <c r="V42" s="313"/>
      <c r="W42" s="313"/>
      <c r="X42" s="298" t="s">
        <v>400</v>
      </c>
      <c r="Y42" s="417">
        <f>IF($N30=DeklEnMixWOK,Y27,Konstanten!C48)</f>
        <v>295.74</v>
      </c>
      <c r="Z42" s="416">
        <f>IF($N30=DeklEnMixWOK,Z27,Konstanten!D48)</f>
        <v>5.2900000000000004E-3</v>
      </c>
      <c r="AA42" s="416">
        <f>IF($N30=DeklEnMixWOK,AA27,Konstanten!E48)</f>
        <v>1.0708599999999999</v>
      </c>
      <c r="AB42" s="414">
        <f>IF($N30=DeklEnMixWOK,AB27,Konstanten!F48)</f>
        <v>0.24480000000000005</v>
      </c>
    </row>
    <row r="43" spans="11:28" ht="18">
      <c r="K43" s="309"/>
      <c r="L43" s="315"/>
      <c r="M43" s="320" t="s">
        <v>174</v>
      </c>
      <c r="N43" s="316"/>
      <c r="O43" s="316"/>
      <c r="P43" s="316"/>
      <c r="Q43" s="316"/>
      <c r="R43" s="316"/>
      <c r="S43" s="316"/>
      <c r="T43" s="460"/>
      <c r="U43" s="460"/>
      <c r="V43" s="316"/>
      <c r="W43" s="309"/>
    </row>
    <row r="44" spans="11:28" s="298" customFormat="1" ht="4.5" customHeight="1">
      <c r="K44" s="313"/>
      <c r="L44" s="317"/>
      <c r="M44" s="318"/>
      <c r="N44" s="319"/>
      <c r="O44" s="319"/>
      <c r="P44" s="319"/>
      <c r="Q44" s="319"/>
      <c r="R44" s="319"/>
      <c r="S44" s="319"/>
      <c r="T44" s="319"/>
      <c r="U44" s="319"/>
      <c r="V44" s="319"/>
      <c r="W44" s="313"/>
    </row>
    <row r="45" spans="11:28" ht="29.25" customHeight="1">
      <c r="K45" s="309"/>
      <c r="L45" s="322"/>
      <c r="M45" s="321" t="s">
        <v>254</v>
      </c>
      <c r="N45" s="323"/>
      <c r="O45" s="323" t="s">
        <v>167</v>
      </c>
      <c r="P45" s="323" t="s">
        <v>299</v>
      </c>
      <c r="Q45" s="461" t="s">
        <v>170</v>
      </c>
      <c r="R45" s="461"/>
      <c r="S45" s="323" t="s">
        <v>166</v>
      </c>
      <c r="T45" s="461" t="s">
        <v>256</v>
      </c>
      <c r="U45" s="461"/>
      <c r="V45" s="323"/>
      <c r="W45" s="309"/>
    </row>
    <row r="46" spans="11:28" ht="18" customHeight="1" thickBot="1">
      <c r="L46" s="326"/>
      <c r="M46" s="466"/>
      <c r="N46" s="466"/>
      <c r="O46" s="327" t="s">
        <v>16</v>
      </c>
      <c r="P46" s="327" t="s">
        <v>154</v>
      </c>
      <c r="Q46" s="327"/>
      <c r="R46" s="327" t="s">
        <v>154</v>
      </c>
      <c r="S46" s="327" t="s">
        <v>302</v>
      </c>
      <c r="T46" s="462" t="s">
        <v>258</v>
      </c>
      <c r="U46" s="462"/>
      <c r="V46" s="323"/>
    </row>
    <row r="47" spans="11:28" ht="18" customHeight="1">
      <c r="L47" s="331"/>
      <c r="M47" s="467" t="str">
        <f>IF(ISBLANK(Produkt_1!D$9),"",Produkt_1!D$9)</f>
        <v/>
      </c>
      <c r="N47" s="467"/>
      <c r="O47" s="332">
        <f>Produkt_1!D56</f>
        <v>0</v>
      </c>
      <c r="P47" s="440">
        <f>Produkt_1!E56</f>
        <v>0</v>
      </c>
      <c r="Q47" s="464">
        <f>Produkt_1!F56</f>
        <v>0</v>
      </c>
      <c r="R47" s="464"/>
      <c r="S47" s="333">
        <f>Produkt_1!G56</f>
        <v>0</v>
      </c>
      <c r="T47" s="463">
        <f>Produkt_1!H56</f>
        <v>0</v>
      </c>
      <c r="U47" s="463"/>
      <c r="V47" s="334"/>
    </row>
    <row r="48" spans="11:28" ht="18" customHeight="1">
      <c r="L48" s="324"/>
      <c r="M48" s="458" t="str">
        <f>IF(ISBLANK(Produkt_2!D$9),"",Produkt_2!D$9)</f>
        <v/>
      </c>
      <c r="N48" s="458"/>
      <c r="O48" s="329">
        <f>Produkt_2!D56</f>
        <v>0</v>
      </c>
      <c r="P48" s="441">
        <f>Produkt_2!E56</f>
        <v>0</v>
      </c>
      <c r="Q48" s="459">
        <f>Produkt_2!F56</f>
        <v>0</v>
      </c>
      <c r="R48" s="459"/>
      <c r="S48" s="330">
        <f>Produkt_2!G56</f>
        <v>0</v>
      </c>
      <c r="T48" s="454">
        <f>Produkt_2!H56</f>
        <v>0</v>
      </c>
      <c r="U48" s="454"/>
      <c r="V48" s="325"/>
    </row>
    <row r="49" spans="7:22" ht="18" customHeight="1">
      <c r="L49" s="324"/>
      <c r="M49" s="458" t="str">
        <f>IF(ISBLANK(Produkt_3!D$9),"",Produkt_3!D$9)</f>
        <v/>
      </c>
      <c r="N49" s="458"/>
      <c r="O49" s="329">
        <f>Produkt_3!D56</f>
        <v>0</v>
      </c>
      <c r="P49" s="441">
        <f>Produkt_3!E56</f>
        <v>0</v>
      </c>
      <c r="Q49" s="459">
        <f>Produkt_3!F56</f>
        <v>0</v>
      </c>
      <c r="R49" s="459"/>
      <c r="S49" s="330">
        <f>Produkt_3!G56</f>
        <v>0</v>
      </c>
      <c r="T49" s="454">
        <f>Produkt_3!H56</f>
        <v>0</v>
      </c>
      <c r="U49" s="454"/>
      <c r="V49" s="325"/>
    </row>
    <row r="50" spans="7:22" ht="18" customHeight="1">
      <c r="L50" s="328"/>
      <c r="M50" s="458" t="str">
        <f>IF(ISBLANK(Produkt_4!D$9),"",Produkt_4!D$9)</f>
        <v/>
      </c>
      <c r="N50" s="458"/>
      <c r="O50" s="329">
        <f>Produkt_4!D56</f>
        <v>0</v>
      </c>
      <c r="P50" s="441">
        <f>Produkt_4!E56</f>
        <v>0</v>
      </c>
      <c r="Q50" s="459">
        <f>Produkt_4!F56</f>
        <v>0</v>
      </c>
      <c r="R50" s="459"/>
      <c r="S50" s="330">
        <f>Produkt_4!G56</f>
        <v>0</v>
      </c>
      <c r="T50" s="454">
        <f>Produkt_4!H56</f>
        <v>0</v>
      </c>
      <c r="U50" s="454"/>
      <c r="V50" s="323"/>
    </row>
    <row r="51" spans="7:22" ht="4.5" customHeight="1">
      <c r="L51" s="328"/>
      <c r="M51" s="458"/>
      <c r="N51" s="458"/>
      <c r="O51" s="329"/>
      <c r="P51" s="441"/>
      <c r="Q51" s="459"/>
      <c r="R51" s="459"/>
      <c r="S51" s="330"/>
      <c r="T51" s="454"/>
      <c r="U51" s="454"/>
      <c r="V51" s="323"/>
    </row>
    <row r="56" spans="7:22" ht="4.5" customHeight="1"/>
    <row r="57" spans="7:22" ht="15">
      <c r="G57" s="2"/>
      <c r="H57" s="3"/>
      <c r="I57" s="2"/>
    </row>
    <row r="58" spans="7:22" ht="15">
      <c r="G58" s="2"/>
      <c r="H58" s="3"/>
      <c r="I58" s="2"/>
    </row>
    <row r="59" spans="7:22" ht="15">
      <c r="G59" s="2"/>
      <c r="H59" s="3"/>
      <c r="I59" s="2"/>
    </row>
    <row r="60" spans="7:22" ht="14.25">
      <c r="H60" s="3"/>
    </row>
    <row r="66" spans="3:3">
      <c r="C66" s="5"/>
    </row>
    <row r="67" spans="3:3">
      <c r="C67" s="4"/>
    </row>
    <row r="68" spans="3:3">
      <c r="C68" s="4"/>
    </row>
    <row r="69" spans="3:3">
      <c r="C69" s="4"/>
    </row>
    <row r="70" spans="3:3">
      <c r="C70" s="4"/>
    </row>
    <row r="71" spans="3:3">
      <c r="C71" s="4"/>
    </row>
    <row r="72" spans="3:3">
      <c r="C72" s="4"/>
    </row>
    <row r="73" spans="3:3">
      <c r="C73" s="4"/>
    </row>
    <row r="74" spans="3:3">
      <c r="C74" s="4"/>
    </row>
  </sheetData>
  <sheetProtection algorithmName="SHA-512" hashValue="hXeaVEJHoGI9o8InG0AwP2xLDOXUm9MbdM59Gcxw0zbB4mbyFvWVThIacWiwBmtjs28SHgmyoyjBqlvZJLhq8w==" saltValue="L2aaUUch9TBhYjSFcI5llw==" spinCount="100000" sheet="1" objects="1" scenarios="1" selectLockedCells="1"/>
  <dataConsolidate/>
  <mergeCells count="30">
    <mergeCell ref="Q51:R51"/>
    <mergeCell ref="Q45:R45"/>
    <mergeCell ref="M46:N46"/>
    <mergeCell ref="M47:N47"/>
    <mergeCell ref="M48:N48"/>
    <mergeCell ref="M49:N49"/>
    <mergeCell ref="M50:N50"/>
    <mergeCell ref="Q47:R47"/>
    <mergeCell ref="N12:P12"/>
    <mergeCell ref="N14:P14"/>
    <mergeCell ref="N16:P16"/>
    <mergeCell ref="S12:U12"/>
    <mergeCell ref="S14:U14"/>
    <mergeCell ref="S16:U16"/>
    <mergeCell ref="T51:U51"/>
    <mergeCell ref="N38:U38"/>
    <mergeCell ref="N40:U40"/>
    <mergeCell ref="N28:P29"/>
    <mergeCell ref="N30:P31"/>
    <mergeCell ref="M51:N51"/>
    <mergeCell ref="Q48:R48"/>
    <mergeCell ref="Q49:R49"/>
    <mergeCell ref="Q50:R50"/>
    <mergeCell ref="T43:U43"/>
    <mergeCell ref="T45:U45"/>
    <mergeCell ref="T46:U46"/>
    <mergeCell ref="T47:U47"/>
    <mergeCell ref="T48:U48"/>
    <mergeCell ref="T49:U49"/>
    <mergeCell ref="T50:U50"/>
  </mergeCells>
  <conditionalFormatting sqref="U27">
    <cfRule type="expression" dxfId="100" priority="5">
      <formula>$U27=DeklAnteilOK</formula>
    </cfRule>
  </conditionalFormatting>
  <conditionalFormatting sqref="U33">
    <cfRule type="expression" dxfId="99" priority="3">
      <formula>$U33=DeklAnteilOK</formula>
    </cfRule>
  </conditionalFormatting>
  <conditionalFormatting sqref="N28:P29">
    <cfRule type="expression" dxfId="98" priority="2">
      <formula>$N$28=DeklEnMixSOK</formula>
    </cfRule>
  </conditionalFormatting>
  <conditionalFormatting sqref="N30:P31">
    <cfRule type="expression" dxfId="97" priority="1">
      <formula>$N$30=DeklEnMixWOK</formula>
    </cfRule>
  </conditionalFormatting>
  <dataValidations count="13">
    <dataValidation allowBlank="1" showInputMessage="1" showErrorMessage="1" promptTitle="E-Mail" prompt="Geben Sie hier die E-Mail-Adresse der zuständigen Person ein." sqref="S16" xr:uid="{F6993FD2-F9C0-4C1D-BAB7-8A1F2F1A5AE8}"/>
    <dataValidation allowBlank="1" showInputMessage="1" showErrorMessage="1" promptTitle="Telefon" prompt="Geben Sie hier die direkte Telefonnummer der zuständigen Person ein." sqref="S14" xr:uid="{94754227-FB2C-440F-AAB1-37029D6FDA65}"/>
    <dataValidation allowBlank="1" showInputMessage="1" showErrorMessage="1" promptTitle="Adresse" prompt="Geben Sie hier die Firmenadresse ein." sqref="S12" xr:uid="{DF1D6C04-FD69-4638-920B-1EF83577FD9E}"/>
    <dataValidation allowBlank="1" showInputMessage="1" showErrorMessage="1" promptTitle="Funktion" prompt="Geben Sie hier ein, welche Funktion die zuständige Person in der Firma innehat." sqref="N16" xr:uid="{97873FC1-C341-4131-8579-4541EFF30E72}"/>
    <dataValidation allowBlank="1" showInputMessage="1" showErrorMessage="1" promptTitle="Zuständig" prompt="Geben Sie hier Vorname und Name derjenigen Person ein, welche für diese Materialdeklaration zuständig ist." sqref="N14" xr:uid="{8BB86A68-FDA1-4D88-BD64-813A0017B9F5}"/>
    <dataValidation allowBlank="1" showInputMessage="1" showErrorMessage="1" promptTitle="Firma" prompt="Geben Sie hier die genaue Firmenbezeichnung ein." sqref="N12" xr:uid="{132CE9BA-2988-4A55-8568-A4DDD6500DE6}"/>
    <dataValidation type="decimal" allowBlank="1" showInputMessage="1" showErrorMessage="1" errorTitle="Fehler" error="Sie müssen Werte zwischen 0 und 999 kWh/kg eingeben." promptTitle="Energie Wärme" prompt="Geben Sie hier den Wert für die verbrauchte Wärmemenge in kWh pro produziertes kg Endprodukt ein, wenn dieser für alle deklarierten Produkte identisch ist. Falls Sie den Wert nicht kennen, lassen Sie das Feld leer (Defaultwert wird automatisch verwendet)" sqref="N26" xr:uid="{B743295D-97A3-48F9-852C-94794C4FEB83}">
      <formula1>0</formula1>
      <formula2>999</formula2>
    </dataValidation>
    <dataValidation type="decimal" allowBlank="1" showInputMessage="1" showErrorMessage="1" errorTitle="Fehler" error="Sie müssen Werte zwischen 0 und 999 kWh/kg eingeben." promptTitle="Energie Strom" prompt="Geben Sie hier den Wert für den verbrauchten Strom in kWh pro produziertes kg Endprodukt ein, wenn dieser für alle deklarierten Produkte identisch ist. Falls Sie den Wert nicht kennen, lassen Sie das Feld leer (Defaultwert wird automatisch verwendet)" sqref="N24" xr:uid="{F86EA84D-8272-4BA2-8E32-535B92C1E15F}">
      <formula1>0</formula1>
      <formula2>999</formula2>
    </dataValidation>
    <dataValidation type="decimal" allowBlank="1" showInputMessage="1" showErrorMessage="1" promptTitle="Materialeffizienz" prompt="Geben Sie hier ein, in welchem %-Verhältnis Materialinput zu Produktionsoutput stehen (übliche Werte liegen zwischen 70 und 90%). Wenn Sie den Wert nicht kennen, lassen Sie das Feld leer (Defaultwerte werden automatisch verwendet)." sqref="N22" xr:uid="{F5797EAA-9964-4E0E-B7B1-66735BA86FE1}">
      <formula1>0</formula1>
      <formula2>1</formula2>
    </dataValidation>
    <dataValidation type="list" allowBlank="1" showInputMessage="1" showErrorMessage="1" errorTitle="Fehler" error="Sie müssen einen Eintrag aus der Liste wählen." promptTitle="Energieträger Strom" prompt="Wählen Sie denjenigen Eintrag aus der Liste, welcher der verwendeten Stromquelle bzw. dem Strommix am besten entspricht." sqref="S22 S24 S26" xr:uid="{B2921D80-6E01-4CE7-B606-C395116F4037}">
      <formula1>LstStrom</formula1>
    </dataValidation>
    <dataValidation type="list" allowBlank="1" showInputMessage="1" showErrorMessage="1" errorTitle="Fehler" error="Sie müssen einen Eintrag aus der Liste wählen." promptTitle="Energieträger Wärme" prompt="Wählen Sie denjenigen Eintrag aus der Liste, welcher der verwendeten Wärmequelle am besten entspricht." sqref="S28 S30 S32" xr:uid="{342EE84F-8245-4AB0-9FDF-3776DF768C22}">
      <formula1>LstWaerme</formula1>
    </dataValidation>
    <dataValidation type="decimal" allowBlank="1" showInputMessage="1" showErrorMessage="1" errorTitle="Fehler" error="Der eingegebene Wert muss zwischen 0 und 100% liegen." promptTitle="Anteil Strom" prompt="Geben Sie den Anteil des Energieträgers am gesamten Strommix in Prozenten ein. Die Summe aller Anteile muss 100% betragen." sqref="U22 U24 U26" xr:uid="{D23F6AEC-CD30-417D-8A53-49A654B4F0FB}">
      <formula1>0</formula1>
      <formula2>1</formula2>
    </dataValidation>
    <dataValidation type="decimal" allowBlank="1" showInputMessage="1" showErrorMessage="1" errorTitle="Fehler" error="Der eingegebene Wert muss zwischen 0 und 100% liegen." promptTitle="Anteil Wärme" prompt="Geben Sie den Anteil des Energieträgers am gesamten Wärmemix in Prozenten ein. Die Summe aller Anteile muss 100% betragen." sqref="U28 U30 U32" xr:uid="{DB14EE0E-775F-48DC-AFA8-58AD20ED7026}">
      <formula1>0</formula1>
      <formula2>1</formula2>
    </dataValidation>
  </dataValidations>
  <pageMargins left="0.23622047244094491" right="0.23622047244094491" top="0.74803149606299213" bottom="0.74803149606299213" header="0.31496062992125984" footer="0.31496062992125984"/>
  <pageSetup paperSize="9" scale="6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1D532-D4FD-485C-AC21-7926EC2845F2}">
  <sheetPr>
    <pageSetUpPr autoPageBreaks="0" fitToPage="1"/>
  </sheetPr>
  <dimension ref="A1:AN98"/>
  <sheetViews>
    <sheetView showGridLines="0" zoomScale="87" zoomScaleNormal="87" workbookViewId="0">
      <selection activeCell="D9" sqref="D9:H9"/>
    </sheetView>
  </sheetViews>
  <sheetFormatPr baseColWidth="10" defaultColWidth="11.42578125" defaultRowHeight="15"/>
  <cols>
    <col min="1" max="1" width="2.5703125" style="146" customWidth="1"/>
    <col min="2" max="2" width="3.42578125" style="146" customWidth="1"/>
    <col min="3" max="3" width="31.140625" style="146" customWidth="1"/>
    <col min="4" max="4" width="18" style="146" customWidth="1"/>
    <col min="5" max="5" width="23.28515625" style="146" customWidth="1"/>
    <col min="6" max="7" width="26.28515625" style="146" customWidth="1"/>
    <col min="8" max="8" width="14" style="146" customWidth="1"/>
    <col min="9" max="9" width="6.140625" style="146" customWidth="1"/>
    <col min="10" max="10" width="18.5703125" style="146" customWidth="1"/>
    <col min="11" max="11" width="24.42578125" style="146" hidden="1" customWidth="1"/>
    <col min="12" max="12" width="21.5703125" style="146" hidden="1" customWidth="1"/>
    <col min="13" max="19" width="16.7109375" style="146" hidden="1" customWidth="1"/>
    <col min="20" max="20" width="24.5703125" style="146" hidden="1" customWidth="1"/>
    <col min="21" max="16384" width="11.42578125" style="146"/>
  </cols>
  <sheetData>
    <row r="1" spans="1:40" s="6" customFormat="1">
      <c r="A1" s="7"/>
      <c r="B1" s="7"/>
      <c r="C1" s="9"/>
      <c r="D1" s="9"/>
      <c r="E1" s="9"/>
      <c r="F1" s="9"/>
      <c r="G1" s="9"/>
      <c r="H1" s="9"/>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row>
    <row r="2" spans="1:40" s="6" customFormat="1">
      <c r="A2" s="7"/>
      <c r="B2" s="7"/>
      <c r="C2" s="9"/>
      <c r="D2" s="9"/>
      <c r="E2" s="9"/>
      <c r="F2" s="9"/>
      <c r="G2" s="9"/>
      <c r="H2" s="9"/>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row>
    <row r="3" spans="1:40" s="6" customFormat="1">
      <c r="A3" s="7"/>
      <c r="B3" s="7"/>
      <c r="C3" s="9"/>
      <c r="D3" s="9"/>
      <c r="E3" s="9"/>
      <c r="F3" s="9"/>
      <c r="G3" s="9"/>
      <c r="H3" s="9"/>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row>
    <row r="4" spans="1:40" s="6" customFormat="1" ht="12" customHeight="1">
      <c r="A4" s="7"/>
      <c r="B4" s="7"/>
      <c r="C4" s="9"/>
      <c r="D4" s="9"/>
      <c r="E4" s="9"/>
      <c r="F4" s="9"/>
      <c r="G4" s="9"/>
      <c r="H4" s="9"/>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row>
    <row r="5" spans="1:40" s="6" customFormat="1">
      <c r="A5" s="7"/>
      <c r="B5" s="7"/>
      <c r="C5" s="9"/>
      <c r="D5" s="9"/>
      <c r="E5" s="9"/>
      <c r="F5" s="9"/>
      <c r="G5" s="9"/>
      <c r="H5" s="9"/>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row>
    <row r="6" spans="1:40" s="340" customFormat="1" ht="25.5" customHeight="1">
      <c r="A6" s="336"/>
      <c r="B6" s="11"/>
      <c r="C6" s="337" t="s">
        <v>34</v>
      </c>
      <c r="D6" s="339"/>
      <c r="E6" s="339"/>
      <c r="F6" s="339"/>
      <c r="G6" s="338" t="str">
        <f>"Version "&amp;Version</f>
        <v>Version 1.3</v>
      </c>
      <c r="H6" s="471">
        <f>VersionsDatum</f>
        <v>45229</v>
      </c>
      <c r="I6" s="471"/>
      <c r="J6" s="336"/>
      <c r="K6" s="242" t="s">
        <v>235</v>
      </c>
      <c r="L6" s="11"/>
      <c r="M6" s="11"/>
      <c r="N6" s="11"/>
      <c r="O6" s="11"/>
      <c r="P6" s="11"/>
      <c r="Q6" s="11"/>
      <c r="R6" s="11"/>
      <c r="S6" s="11"/>
      <c r="T6" s="11"/>
      <c r="U6" s="336"/>
      <c r="V6" s="336"/>
      <c r="W6" s="336"/>
      <c r="X6" s="336"/>
      <c r="Y6" s="336"/>
      <c r="Z6" s="336"/>
      <c r="AA6" s="336"/>
      <c r="AB6" s="336"/>
      <c r="AC6" s="336"/>
      <c r="AD6" s="336"/>
      <c r="AE6" s="336"/>
      <c r="AF6" s="336"/>
      <c r="AG6" s="336"/>
      <c r="AH6" s="336"/>
      <c r="AI6" s="336"/>
      <c r="AJ6" s="336"/>
      <c r="AK6" s="336"/>
      <c r="AL6" s="336"/>
      <c r="AM6" s="336"/>
      <c r="AN6" s="336"/>
    </row>
    <row r="7" spans="1:40" s="6" customFormat="1" ht="4.5" customHeight="1" thickBot="1">
      <c r="A7" s="7"/>
      <c r="B7" s="268"/>
      <c r="C7" s="268"/>
      <c r="D7" s="268"/>
      <c r="E7" s="268"/>
      <c r="F7" s="268"/>
      <c r="G7" s="268"/>
      <c r="H7" s="268"/>
      <c r="I7" s="268"/>
      <c r="J7" s="7"/>
      <c r="K7" s="11"/>
      <c r="L7" s="11"/>
      <c r="M7" s="11"/>
      <c r="N7" s="11"/>
      <c r="O7" s="11"/>
      <c r="P7" s="11"/>
      <c r="Q7" s="11"/>
      <c r="R7" s="11"/>
      <c r="S7" s="11"/>
      <c r="T7" s="11"/>
      <c r="U7" s="7"/>
      <c r="V7" s="7"/>
      <c r="W7" s="7"/>
      <c r="X7" s="7"/>
      <c r="Y7" s="7"/>
      <c r="Z7" s="7"/>
      <c r="AA7" s="7"/>
      <c r="AB7" s="7"/>
      <c r="AC7" s="7"/>
      <c r="AD7" s="7"/>
      <c r="AE7" s="7"/>
      <c r="AF7" s="7"/>
      <c r="AG7" s="7"/>
      <c r="AH7" s="7"/>
      <c r="AI7" s="7"/>
      <c r="AJ7" s="7"/>
      <c r="AK7" s="7"/>
      <c r="AL7" s="7"/>
      <c r="AM7" s="7"/>
      <c r="AN7" s="7"/>
    </row>
    <row r="8" spans="1:40" s="6" customFormat="1" ht="27" customHeight="1">
      <c r="A8" s="7"/>
      <c r="B8" s="11"/>
      <c r="C8" s="233" t="str">
        <f>"Produkt 1"&amp;IF(D9&lt;&gt;"",": "&amp;D9,"")</f>
        <v>Produkt 1</v>
      </c>
      <c r="D8" s="233"/>
      <c r="E8" s="233"/>
      <c r="F8" s="14"/>
      <c r="G8" s="13"/>
      <c r="H8" s="232" t="b">
        <f>IF(AND(COUNTA(F$16:F$27)&gt;0,COUNTA(G$16:G$27)&gt;0,SUM(H$16:H$27)&gt;0),TRUE,FALSE)</f>
        <v>0</v>
      </c>
      <c r="I8" s="13"/>
      <c r="J8" s="7"/>
      <c r="K8" s="236" t="s">
        <v>56</v>
      </c>
      <c r="L8" s="475" t="s">
        <v>172</v>
      </c>
      <c r="M8" s="476"/>
      <c r="N8" s="476"/>
      <c r="O8" s="476"/>
      <c r="P8" s="476"/>
      <c r="Q8" s="476"/>
      <c r="R8" s="476"/>
      <c r="S8" s="476"/>
      <c r="T8" s="265"/>
      <c r="U8" s="7"/>
      <c r="V8" s="7"/>
      <c r="W8" s="7"/>
      <c r="X8" s="7"/>
      <c r="Y8" s="7"/>
      <c r="Z8" s="7"/>
      <c r="AA8" s="7"/>
      <c r="AB8" s="7"/>
      <c r="AC8" s="7"/>
      <c r="AD8" s="7"/>
      <c r="AE8" s="7"/>
      <c r="AF8" s="7"/>
      <c r="AG8" s="7"/>
      <c r="AH8" s="7"/>
      <c r="AI8" s="7"/>
      <c r="AJ8" s="7"/>
      <c r="AK8" s="7"/>
      <c r="AL8" s="7"/>
      <c r="AM8" s="7"/>
      <c r="AN8" s="7"/>
    </row>
    <row r="9" spans="1:40" s="6" customFormat="1" ht="18" customHeight="1">
      <c r="A9" s="7"/>
      <c r="B9" s="11"/>
      <c r="C9" s="148" t="s">
        <v>56</v>
      </c>
      <c r="D9" s="474"/>
      <c r="E9" s="474"/>
      <c r="F9" s="474"/>
      <c r="G9" s="474"/>
      <c r="H9" s="474"/>
      <c r="I9" s="71"/>
      <c r="J9" s="149"/>
      <c r="K9" s="234" t="s">
        <v>375</v>
      </c>
      <c r="L9" s="397">
        <f>Start!Y40</f>
        <v>598.54</v>
      </c>
      <c r="M9" s="145"/>
      <c r="N9" s="384">
        <f>Start!Z40</f>
        <v>0.63600000000000001</v>
      </c>
      <c r="O9" s="145"/>
      <c r="P9" s="384">
        <f>Start!AA40</f>
        <v>1.7452799999999999</v>
      </c>
      <c r="Q9" s="145"/>
      <c r="R9" s="400">
        <f>Start!AB40</f>
        <v>0.32163999999999998</v>
      </c>
      <c r="S9" s="145"/>
      <c r="T9" s="145"/>
      <c r="U9" s="7"/>
      <c r="V9" s="7"/>
      <c r="W9" s="7"/>
      <c r="X9" s="7"/>
      <c r="Y9" s="7"/>
      <c r="Z9" s="7"/>
      <c r="AA9" s="7"/>
      <c r="AB9" s="7"/>
      <c r="AC9" s="7"/>
      <c r="AD9" s="7"/>
      <c r="AE9" s="7"/>
      <c r="AF9" s="7"/>
      <c r="AG9" s="7"/>
      <c r="AH9" s="7"/>
      <c r="AI9" s="7"/>
      <c r="AJ9" s="7"/>
      <c r="AK9" s="7"/>
      <c r="AL9" s="7"/>
      <c r="AM9" s="7"/>
      <c r="AN9" s="7"/>
    </row>
    <row r="10" spans="1:40" s="6" customFormat="1" ht="6" customHeight="1">
      <c r="A10" s="7"/>
      <c r="B10" s="11"/>
      <c r="C10" s="148"/>
      <c r="D10" s="71"/>
      <c r="E10" s="71"/>
      <c r="F10" s="71"/>
      <c r="G10" s="71"/>
      <c r="H10" s="71"/>
      <c r="I10" s="71"/>
      <c r="J10" s="149"/>
      <c r="K10" s="234"/>
      <c r="L10" s="237"/>
      <c r="M10" s="145"/>
      <c r="N10" s="145"/>
      <c r="O10" s="145"/>
      <c r="P10" s="145"/>
      <c r="Q10" s="145"/>
      <c r="R10" s="145"/>
      <c r="S10" s="145"/>
      <c r="T10" s="145"/>
      <c r="U10" s="7"/>
      <c r="V10" s="7"/>
      <c r="W10" s="7"/>
      <c r="X10" s="7"/>
      <c r="Y10" s="7"/>
      <c r="Z10" s="7"/>
      <c r="AA10" s="7"/>
      <c r="AB10" s="7"/>
      <c r="AC10" s="7"/>
      <c r="AD10" s="7"/>
      <c r="AE10" s="7"/>
      <c r="AF10" s="7"/>
      <c r="AG10" s="7"/>
      <c r="AH10" s="7"/>
      <c r="AI10" s="7"/>
      <c r="AJ10" s="7"/>
      <c r="AK10" s="7"/>
      <c r="AL10" s="7"/>
      <c r="AM10" s="7"/>
      <c r="AN10" s="7"/>
    </row>
    <row r="11" spans="1:40" s="6" customFormat="1" ht="18" customHeight="1" thickBot="1">
      <c r="A11" s="7"/>
      <c r="B11" s="11"/>
      <c r="C11" s="148" t="s">
        <v>57</v>
      </c>
      <c r="D11" s="474"/>
      <c r="E11" s="474"/>
      <c r="F11" s="474"/>
      <c r="G11" s="474"/>
      <c r="H11" s="474"/>
      <c r="I11" s="71"/>
      <c r="J11" s="149"/>
      <c r="K11" s="248" t="s">
        <v>376</v>
      </c>
      <c r="L11" s="398">
        <f>Start!Y42</f>
        <v>295.74</v>
      </c>
      <c r="M11" s="240"/>
      <c r="N11" s="399">
        <f>Start!Z42</f>
        <v>5.2900000000000004E-3</v>
      </c>
      <c r="O11" s="240"/>
      <c r="P11" s="399">
        <f>Start!AA42</f>
        <v>1.0708599999999999</v>
      </c>
      <c r="Q11" s="240"/>
      <c r="R11" s="401">
        <f>Start!AB42</f>
        <v>0.24480000000000005</v>
      </c>
      <c r="S11" s="240"/>
      <c r="T11" s="240"/>
      <c r="U11" s="7"/>
      <c r="V11" s="7"/>
      <c r="W11" s="7"/>
      <c r="X11" s="7"/>
      <c r="Y11" s="7"/>
      <c r="Z11" s="7"/>
      <c r="AA11" s="7"/>
      <c r="AB11" s="7"/>
      <c r="AC11" s="7"/>
      <c r="AD11" s="7"/>
      <c r="AE11" s="7"/>
      <c r="AF11" s="7"/>
      <c r="AG11" s="7"/>
      <c r="AH11" s="7"/>
      <c r="AI11" s="7"/>
      <c r="AJ11" s="7"/>
      <c r="AK11" s="7"/>
      <c r="AL11" s="7"/>
      <c r="AM11" s="7"/>
      <c r="AN11" s="7"/>
    </row>
    <row r="12" spans="1:40" s="6" customFormat="1" ht="6" customHeight="1">
      <c r="A12" s="7"/>
      <c r="B12" s="11"/>
      <c r="C12" s="148"/>
      <c r="D12" s="71"/>
      <c r="E12" s="71"/>
      <c r="F12" s="71"/>
      <c r="G12" s="71"/>
      <c r="H12" s="71"/>
      <c r="I12" s="71"/>
      <c r="J12" s="149"/>
      <c r="K12" s="234"/>
      <c r="L12" s="238"/>
      <c r="M12" s="10"/>
      <c r="N12" s="10"/>
      <c r="O12" s="10"/>
      <c r="P12" s="10"/>
      <c r="Q12" s="10"/>
      <c r="R12" s="10"/>
      <c r="S12" s="10"/>
      <c r="T12" s="10"/>
      <c r="U12" s="7"/>
      <c r="V12" s="7"/>
      <c r="W12" s="7"/>
      <c r="X12" s="7"/>
      <c r="Y12" s="7"/>
      <c r="Z12" s="7"/>
      <c r="AA12" s="7"/>
      <c r="AB12" s="7"/>
      <c r="AC12" s="7"/>
      <c r="AD12" s="7"/>
      <c r="AE12" s="7"/>
      <c r="AF12" s="7"/>
      <c r="AG12" s="7"/>
      <c r="AH12" s="7"/>
      <c r="AI12" s="7"/>
      <c r="AJ12" s="7"/>
      <c r="AK12" s="7"/>
      <c r="AL12" s="7"/>
      <c r="AM12" s="7"/>
      <c r="AN12" s="7"/>
    </row>
    <row r="13" spans="1:40" s="6" customFormat="1" ht="18" customHeight="1">
      <c r="A13" s="7"/>
      <c r="B13" s="11"/>
      <c r="C13" s="148" t="s">
        <v>163</v>
      </c>
      <c r="D13" s="259"/>
      <c r="E13" s="148" t="s">
        <v>226</v>
      </c>
      <c r="F13" s="148"/>
      <c r="G13" s="264" t="s">
        <v>168</v>
      </c>
      <c r="H13" s="266">
        <v>1</v>
      </c>
      <c r="I13" s="148" t="s">
        <v>169</v>
      </c>
      <c r="J13" s="149"/>
      <c r="K13" s="234" t="s">
        <v>157</v>
      </c>
      <c r="L13" s="356" t="s">
        <v>148</v>
      </c>
      <c r="M13" s="235" t="s">
        <v>149</v>
      </c>
      <c r="N13" s="235" t="s">
        <v>334</v>
      </c>
      <c r="O13" s="235" t="s">
        <v>335</v>
      </c>
      <c r="P13" s="235" t="s">
        <v>150</v>
      </c>
      <c r="Q13" s="235" t="s">
        <v>151</v>
      </c>
      <c r="R13" s="235" t="s">
        <v>152</v>
      </c>
      <c r="S13" s="235" t="s">
        <v>153</v>
      </c>
      <c r="T13" s="235" t="s">
        <v>268</v>
      </c>
      <c r="U13" s="7"/>
      <c r="V13" s="7"/>
      <c r="W13" s="7"/>
      <c r="X13" s="7"/>
      <c r="Y13" s="7"/>
      <c r="Z13" s="7"/>
      <c r="AA13" s="7"/>
      <c r="AB13" s="7"/>
      <c r="AC13" s="7"/>
      <c r="AD13" s="7"/>
      <c r="AE13" s="7"/>
      <c r="AF13" s="7"/>
      <c r="AG13" s="7"/>
      <c r="AH13" s="7"/>
      <c r="AI13" s="7"/>
      <c r="AJ13" s="7"/>
      <c r="AK13" s="7"/>
      <c r="AL13" s="7"/>
      <c r="AM13" s="7"/>
      <c r="AN13" s="7"/>
    </row>
    <row r="14" spans="1:40" s="6" customFormat="1" ht="6" customHeight="1" thickBot="1">
      <c r="A14" s="7"/>
      <c r="B14" s="11"/>
      <c r="C14" s="148"/>
      <c r="D14" s="71"/>
      <c r="E14" s="71"/>
      <c r="F14" s="71"/>
      <c r="G14" s="71"/>
      <c r="H14" s="71"/>
      <c r="I14" s="71"/>
      <c r="J14" s="149"/>
      <c r="K14" s="14"/>
      <c r="L14" s="237"/>
      <c r="M14" s="145"/>
      <c r="N14" s="145"/>
      <c r="O14" s="145"/>
      <c r="P14" s="145"/>
      <c r="Q14" s="145"/>
      <c r="R14" s="145"/>
      <c r="S14" s="145"/>
      <c r="T14" s="145"/>
      <c r="U14" s="7"/>
      <c r="V14" s="7"/>
      <c r="W14" s="7"/>
      <c r="X14" s="7"/>
      <c r="Y14" s="7"/>
      <c r="Z14" s="7"/>
      <c r="AA14" s="7"/>
      <c r="AB14" s="7"/>
      <c r="AC14" s="7"/>
      <c r="AD14" s="7"/>
      <c r="AE14" s="7"/>
      <c r="AF14" s="7"/>
      <c r="AG14" s="7"/>
      <c r="AH14" s="7"/>
      <c r="AI14" s="7"/>
      <c r="AJ14" s="7"/>
      <c r="AK14" s="7"/>
      <c r="AL14" s="7"/>
      <c r="AM14" s="7"/>
      <c r="AN14" s="7"/>
    </row>
    <row r="15" spans="1:40" s="6" customFormat="1" ht="20.25" customHeight="1" thickBot="1">
      <c r="A15" s="7"/>
      <c r="B15" s="348"/>
      <c r="C15" s="451" t="s">
        <v>173</v>
      </c>
      <c r="D15" s="448" t="s">
        <v>56</v>
      </c>
      <c r="E15" s="448"/>
      <c r="F15" s="448" t="s">
        <v>156</v>
      </c>
      <c r="G15" s="448" t="s">
        <v>157</v>
      </c>
      <c r="H15" s="452" t="s">
        <v>159</v>
      </c>
      <c r="I15" s="448" t="s">
        <v>158</v>
      </c>
      <c r="J15" s="150"/>
      <c r="K15" s="14"/>
      <c r="L15" s="354" t="s">
        <v>16</v>
      </c>
      <c r="M15" s="355" t="s">
        <v>16</v>
      </c>
      <c r="N15" s="355" t="s">
        <v>154</v>
      </c>
      <c r="O15" s="355" t="s">
        <v>154</v>
      </c>
      <c r="P15" s="355" t="s">
        <v>154</v>
      </c>
      <c r="Q15" s="355" t="s">
        <v>154</v>
      </c>
      <c r="R15" s="355" t="s">
        <v>155</v>
      </c>
      <c r="S15" s="355" t="s">
        <v>155</v>
      </c>
      <c r="T15" s="355" t="s">
        <v>258</v>
      </c>
      <c r="U15" s="7"/>
      <c r="V15" s="7"/>
      <c r="W15" s="7"/>
      <c r="X15" s="7"/>
      <c r="Y15" s="7"/>
      <c r="Z15" s="7"/>
      <c r="AA15" s="7"/>
      <c r="AB15" s="7"/>
      <c r="AC15" s="7"/>
      <c r="AD15" s="7"/>
      <c r="AE15" s="7"/>
      <c r="AF15" s="7"/>
      <c r="AG15" s="7"/>
      <c r="AH15" s="7"/>
      <c r="AI15" s="7"/>
      <c r="AJ15" s="7"/>
      <c r="AK15" s="7"/>
      <c r="AL15" s="7"/>
      <c r="AM15" s="7"/>
      <c r="AN15" s="7"/>
    </row>
    <row r="16" spans="1:40" s="6" customFormat="1" ht="14.25" customHeight="1">
      <c r="A16" s="7"/>
      <c r="B16" s="11"/>
      <c r="C16" s="148" t="s">
        <v>416</v>
      </c>
      <c r="D16" s="468"/>
      <c r="E16" s="469"/>
      <c r="F16" s="372"/>
      <c r="G16" s="372"/>
      <c r="H16" s="373"/>
      <c r="I16" s="379" t="str">
        <f t="shared" ref="I16:I27" si="0">IFERROR(VLOOKUP(G16,MxLCA,3,FALSE),"")</f>
        <v/>
      </c>
      <c r="J16" s="150"/>
      <c r="K16" s="14"/>
      <c r="L16" s="252">
        <f t="shared" ref="L16:L27" si="1">IFERROR(VLOOKUP($G16,MxLCA,5,FALSE)*$H16*Anzahl/$M$45,0)</f>
        <v>0</v>
      </c>
      <c r="M16" s="253">
        <f t="shared" ref="M16:M27" si="2">IFERROR(VLOOKUP($G16,MxLCA,6,FALSE)*$H16*Anzahl/IF(OR($M$45&gt;GWOMatEff,$M$45=0),DefMatEff,$M$45),0)</f>
        <v>0</v>
      </c>
      <c r="N16" s="345">
        <f t="shared" ref="N16:N27" si="3">IFERROR(VLOOKUP($G16,MxLCA,8,FALSE)*$H16*Anzahl/IF(OR($M$45&gt;GWOMatEff,$M$45=0),DefMatEff,$M$45),0)</f>
        <v>0</v>
      </c>
      <c r="O16" s="345">
        <f t="shared" ref="O16:O27" si="4">IFERROR(VLOOKUP($G16,MxLCA,9,FALSE)*$H16*Anzahl/IF(OR($M$45&gt;GWOMatEff,$M$45=0),DefMatEff,$M$45),0)</f>
        <v>0</v>
      </c>
      <c r="P16" s="249">
        <f t="shared" ref="P16:P27" si="5">IFERROR(VLOOKUP($G16,MxLCA,14,FALSE)*$H16*Anzahl/IF(OR($M$45&gt;GWOMatEff,$M$45=0),DefMatEff,$M$45),0)</f>
        <v>0</v>
      </c>
      <c r="Q16" s="249">
        <f t="shared" ref="Q16:Q27" si="6">IFERROR(VLOOKUP($G16,MxLCA,15,FALSE)*$H16*Anzahl/IF(OR($M$45&gt;GWOMatEff,$M$45=0),DefMatEff,$M$45),0)</f>
        <v>0</v>
      </c>
      <c r="R16" s="250">
        <f t="shared" ref="R16:R27" si="7">IFERROR(VLOOKUP($G16,MxLCA,17,FALSE)*$H16*Anzahl/IF(OR($M$45&gt;GWOMatEff,$M$45=0),DefMatEff,$M$45),0)</f>
        <v>0</v>
      </c>
      <c r="S16" s="250">
        <f t="shared" ref="S16:S27" si="8">IFERROR(VLOOKUP($G16,MxLCA,18,FALSE)*$H16*Anzahl/IF(OR($M$45&gt;GWOMatEff,$M$45=0),DefMatEff,$M$45),0)</f>
        <v>0</v>
      </c>
      <c r="T16" s="251">
        <f t="shared" ref="T16:T27" si="9">IFERROR(VLOOKUP($G16,MxLCA,19,FALSE)*$H16*Anzahl,0)</f>
        <v>0</v>
      </c>
      <c r="U16" s="7"/>
      <c r="V16" s="7"/>
      <c r="W16" s="7"/>
      <c r="X16" s="7"/>
      <c r="Y16" s="7"/>
      <c r="Z16" s="7"/>
      <c r="AA16" s="7"/>
      <c r="AB16" s="7"/>
      <c r="AC16" s="7"/>
      <c r="AD16" s="7"/>
      <c r="AE16" s="7"/>
      <c r="AF16" s="7"/>
      <c r="AG16" s="7"/>
      <c r="AH16" s="7"/>
      <c r="AI16" s="7"/>
      <c r="AJ16" s="7"/>
      <c r="AK16" s="7"/>
      <c r="AL16" s="7"/>
      <c r="AM16" s="7"/>
      <c r="AN16" s="7"/>
    </row>
    <row r="17" spans="1:40" s="6" customFormat="1" ht="14.25" customHeight="1">
      <c r="A17" s="7"/>
      <c r="B17" s="11"/>
      <c r="C17" s="148" t="s">
        <v>229</v>
      </c>
      <c r="D17" s="468"/>
      <c r="E17" s="469"/>
      <c r="F17" s="372"/>
      <c r="G17" s="372"/>
      <c r="H17" s="373"/>
      <c r="I17" s="379" t="str">
        <f t="shared" si="0"/>
        <v/>
      </c>
      <c r="J17" s="150"/>
      <c r="K17" s="234"/>
      <c r="L17" s="254">
        <f t="shared" si="1"/>
        <v>0</v>
      </c>
      <c r="M17" s="369">
        <f t="shared" si="2"/>
        <v>0</v>
      </c>
      <c r="N17" s="346">
        <f t="shared" si="3"/>
        <v>0</v>
      </c>
      <c r="O17" s="346">
        <f t="shared" si="4"/>
        <v>0</v>
      </c>
      <c r="P17" s="370">
        <f t="shared" si="5"/>
        <v>0</v>
      </c>
      <c r="Q17" s="370">
        <f t="shared" si="6"/>
        <v>0</v>
      </c>
      <c r="R17" s="371">
        <f t="shared" si="7"/>
        <v>0</v>
      </c>
      <c r="S17" s="371">
        <f t="shared" si="8"/>
        <v>0</v>
      </c>
      <c r="T17" s="255">
        <f t="shared" si="9"/>
        <v>0</v>
      </c>
      <c r="U17" s="7"/>
      <c r="V17" s="7"/>
      <c r="W17" s="7"/>
      <c r="X17" s="7"/>
      <c r="Y17" s="7"/>
      <c r="Z17" s="7"/>
      <c r="AA17" s="7"/>
      <c r="AB17" s="7"/>
      <c r="AC17" s="7"/>
      <c r="AD17" s="7"/>
      <c r="AE17" s="7"/>
      <c r="AF17" s="7"/>
      <c r="AG17" s="7"/>
      <c r="AH17" s="7"/>
      <c r="AI17" s="7"/>
      <c r="AJ17" s="7"/>
      <c r="AK17" s="7"/>
      <c r="AL17" s="7"/>
      <c r="AM17" s="7"/>
      <c r="AN17" s="7"/>
    </row>
    <row r="18" spans="1:40" s="6" customFormat="1" ht="14.25" customHeight="1">
      <c r="A18" s="7"/>
      <c r="B18" s="11"/>
      <c r="C18" s="148"/>
      <c r="D18" s="468"/>
      <c r="E18" s="469"/>
      <c r="F18" s="372"/>
      <c r="G18" s="372"/>
      <c r="H18" s="373"/>
      <c r="I18" s="379" t="str">
        <f t="shared" si="0"/>
        <v/>
      </c>
      <c r="J18" s="150"/>
      <c r="K18" s="234"/>
      <c r="L18" s="254">
        <f t="shared" si="1"/>
        <v>0</v>
      </c>
      <c r="M18" s="369">
        <f t="shared" si="2"/>
        <v>0</v>
      </c>
      <c r="N18" s="346">
        <f t="shared" si="3"/>
        <v>0</v>
      </c>
      <c r="O18" s="346">
        <f t="shared" si="4"/>
        <v>0</v>
      </c>
      <c r="P18" s="370">
        <f t="shared" si="5"/>
        <v>0</v>
      </c>
      <c r="Q18" s="370">
        <f t="shared" si="6"/>
        <v>0</v>
      </c>
      <c r="R18" s="371">
        <f t="shared" si="7"/>
        <v>0</v>
      </c>
      <c r="S18" s="371">
        <f t="shared" si="8"/>
        <v>0</v>
      </c>
      <c r="T18" s="255">
        <f t="shared" si="9"/>
        <v>0</v>
      </c>
      <c r="U18" s="7"/>
      <c r="V18" s="7"/>
      <c r="W18" s="7"/>
      <c r="X18" s="7"/>
      <c r="Y18" s="7"/>
      <c r="Z18" s="7"/>
      <c r="AA18" s="7"/>
      <c r="AB18" s="7"/>
      <c r="AC18" s="7"/>
      <c r="AD18" s="7"/>
      <c r="AE18" s="7"/>
      <c r="AF18" s="7"/>
      <c r="AG18" s="7"/>
      <c r="AH18" s="7"/>
      <c r="AI18" s="7"/>
      <c r="AJ18" s="7"/>
      <c r="AK18" s="7"/>
      <c r="AL18" s="7"/>
      <c r="AM18" s="7"/>
      <c r="AN18" s="7"/>
    </row>
    <row r="19" spans="1:40" s="6" customFormat="1" ht="14.25" customHeight="1">
      <c r="A19" s="7"/>
      <c r="B19" s="11"/>
      <c r="C19" s="71"/>
      <c r="D19" s="468"/>
      <c r="E19" s="469"/>
      <c r="F19" s="372"/>
      <c r="G19" s="372"/>
      <c r="H19" s="373"/>
      <c r="I19" s="379" t="str">
        <f t="shared" si="0"/>
        <v/>
      </c>
      <c r="J19" s="150"/>
      <c r="K19" s="234"/>
      <c r="L19" s="254">
        <f t="shared" si="1"/>
        <v>0</v>
      </c>
      <c r="M19" s="369">
        <f t="shared" si="2"/>
        <v>0</v>
      </c>
      <c r="N19" s="346">
        <f t="shared" si="3"/>
        <v>0</v>
      </c>
      <c r="O19" s="346">
        <f t="shared" si="4"/>
        <v>0</v>
      </c>
      <c r="P19" s="370">
        <f t="shared" si="5"/>
        <v>0</v>
      </c>
      <c r="Q19" s="370">
        <f t="shared" si="6"/>
        <v>0</v>
      </c>
      <c r="R19" s="371">
        <f t="shared" si="7"/>
        <v>0</v>
      </c>
      <c r="S19" s="371">
        <f t="shared" si="8"/>
        <v>0</v>
      </c>
      <c r="T19" s="255">
        <f t="shared" si="9"/>
        <v>0</v>
      </c>
      <c r="U19" s="7"/>
      <c r="V19" s="7"/>
      <c r="W19" s="7"/>
      <c r="X19" s="7"/>
      <c r="Y19" s="7"/>
      <c r="Z19" s="7"/>
      <c r="AA19" s="7"/>
      <c r="AB19" s="7"/>
      <c r="AC19" s="7"/>
      <c r="AD19" s="7"/>
      <c r="AE19" s="7"/>
      <c r="AF19" s="7"/>
      <c r="AG19" s="7"/>
      <c r="AH19" s="7"/>
      <c r="AI19" s="7"/>
      <c r="AJ19" s="7"/>
      <c r="AK19" s="7"/>
      <c r="AL19" s="7"/>
      <c r="AM19" s="7"/>
      <c r="AN19" s="7"/>
    </row>
    <row r="20" spans="1:40" s="6" customFormat="1" ht="14.25" customHeight="1">
      <c r="A20" s="7"/>
      <c r="B20" s="11"/>
      <c r="C20" s="71"/>
      <c r="D20" s="468"/>
      <c r="E20" s="469"/>
      <c r="F20" s="372"/>
      <c r="G20" s="372"/>
      <c r="H20" s="373"/>
      <c r="I20" s="379" t="str">
        <f t="shared" si="0"/>
        <v/>
      </c>
      <c r="J20" s="150"/>
      <c r="K20" s="234"/>
      <c r="L20" s="254">
        <f t="shared" si="1"/>
        <v>0</v>
      </c>
      <c r="M20" s="369">
        <f t="shared" si="2"/>
        <v>0</v>
      </c>
      <c r="N20" s="346">
        <f t="shared" si="3"/>
        <v>0</v>
      </c>
      <c r="O20" s="346">
        <f t="shared" si="4"/>
        <v>0</v>
      </c>
      <c r="P20" s="370">
        <f t="shared" si="5"/>
        <v>0</v>
      </c>
      <c r="Q20" s="370">
        <f t="shared" si="6"/>
        <v>0</v>
      </c>
      <c r="R20" s="371">
        <f t="shared" si="7"/>
        <v>0</v>
      </c>
      <c r="S20" s="371">
        <f t="shared" si="8"/>
        <v>0</v>
      </c>
      <c r="T20" s="255">
        <f t="shared" si="9"/>
        <v>0</v>
      </c>
      <c r="U20" s="7"/>
      <c r="V20" s="7"/>
      <c r="W20" s="7"/>
      <c r="X20" s="7"/>
      <c r="Y20" s="7"/>
      <c r="Z20" s="7"/>
      <c r="AA20" s="7"/>
      <c r="AB20" s="7"/>
      <c r="AC20" s="7"/>
      <c r="AD20" s="7"/>
      <c r="AE20" s="7"/>
      <c r="AF20" s="7"/>
      <c r="AG20" s="7"/>
      <c r="AH20" s="7"/>
      <c r="AI20" s="7"/>
      <c r="AJ20" s="7"/>
      <c r="AK20" s="7"/>
      <c r="AL20" s="7"/>
      <c r="AM20" s="7"/>
      <c r="AN20" s="7"/>
    </row>
    <row r="21" spans="1:40" s="6" customFormat="1" ht="14.25" customHeight="1">
      <c r="A21" s="7"/>
      <c r="B21" s="11"/>
      <c r="C21" s="71"/>
      <c r="D21" s="468"/>
      <c r="E21" s="469"/>
      <c r="F21" s="372"/>
      <c r="G21" s="372"/>
      <c r="H21" s="373"/>
      <c r="I21" s="379" t="str">
        <f t="shared" si="0"/>
        <v/>
      </c>
      <c r="J21" s="150"/>
      <c r="K21" s="234"/>
      <c r="L21" s="254">
        <f t="shared" si="1"/>
        <v>0</v>
      </c>
      <c r="M21" s="369">
        <f t="shared" si="2"/>
        <v>0</v>
      </c>
      <c r="N21" s="346">
        <f t="shared" si="3"/>
        <v>0</v>
      </c>
      <c r="O21" s="346">
        <f t="shared" si="4"/>
        <v>0</v>
      </c>
      <c r="P21" s="370">
        <f t="shared" si="5"/>
        <v>0</v>
      </c>
      <c r="Q21" s="370">
        <f t="shared" si="6"/>
        <v>0</v>
      </c>
      <c r="R21" s="371">
        <f t="shared" si="7"/>
        <v>0</v>
      </c>
      <c r="S21" s="371">
        <f t="shared" si="8"/>
        <v>0</v>
      </c>
      <c r="T21" s="255">
        <f t="shared" si="9"/>
        <v>0</v>
      </c>
      <c r="U21" s="7"/>
      <c r="V21" s="7"/>
      <c r="W21" s="7"/>
      <c r="X21" s="7"/>
      <c r="Y21" s="7"/>
      <c r="Z21" s="7"/>
      <c r="AA21" s="7"/>
      <c r="AB21" s="7"/>
      <c r="AC21" s="7"/>
      <c r="AD21" s="7"/>
      <c r="AE21" s="7"/>
      <c r="AF21" s="7"/>
      <c r="AG21" s="7"/>
      <c r="AH21" s="7"/>
      <c r="AI21" s="7"/>
      <c r="AJ21" s="7"/>
      <c r="AK21" s="7"/>
      <c r="AL21" s="7"/>
      <c r="AM21" s="7"/>
      <c r="AN21" s="7"/>
    </row>
    <row r="22" spans="1:40" s="6" customFormat="1" ht="14.25" customHeight="1">
      <c r="A22" s="7"/>
      <c r="B22" s="11"/>
      <c r="C22" s="71"/>
      <c r="D22" s="468"/>
      <c r="E22" s="469"/>
      <c r="F22" s="372"/>
      <c r="G22" s="372"/>
      <c r="H22" s="373"/>
      <c r="I22" s="379" t="str">
        <f t="shared" si="0"/>
        <v/>
      </c>
      <c r="J22" s="150"/>
      <c r="K22" s="234"/>
      <c r="L22" s="254">
        <f t="shared" si="1"/>
        <v>0</v>
      </c>
      <c r="M22" s="369">
        <f t="shared" si="2"/>
        <v>0</v>
      </c>
      <c r="N22" s="346">
        <f t="shared" si="3"/>
        <v>0</v>
      </c>
      <c r="O22" s="346">
        <f t="shared" si="4"/>
        <v>0</v>
      </c>
      <c r="P22" s="370">
        <f t="shared" si="5"/>
        <v>0</v>
      </c>
      <c r="Q22" s="370">
        <f t="shared" si="6"/>
        <v>0</v>
      </c>
      <c r="R22" s="371">
        <f t="shared" si="7"/>
        <v>0</v>
      </c>
      <c r="S22" s="371">
        <f t="shared" si="8"/>
        <v>0</v>
      </c>
      <c r="T22" s="255">
        <f t="shared" si="9"/>
        <v>0</v>
      </c>
      <c r="U22" s="7"/>
      <c r="V22" s="7"/>
      <c r="W22" s="7"/>
      <c r="X22" s="7"/>
      <c r="Y22" s="7"/>
      <c r="Z22" s="7"/>
      <c r="AA22" s="7"/>
      <c r="AB22" s="7"/>
      <c r="AC22" s="7"/>
      <c r="AD22" s="7"/>
      <c r="AE22" s="7"/>
      <c r="AF22" s="7"/>
      <c r="AG22" s="7"/>
      <c r="AH22" s="7"/>
      <c r="AI22" s="7"/>
      <c r="AJ22" s="7"/>
      <c r="AK22" s="7"/>
      <c r="AL22" s="7"/>
      <c r="AM22" s="7"/>
      <c r="AN22" s="7"/>
    </row>
    <row r="23" spans="1:40" s="6" customFormat="1" ht="14.25" customHeight="1">
      <c r="A23" s="7"/>
      <c r="B23" s="11"/>
      <c r="C23" s="71"/>
      <c r="D23" s="468"/>
      <c r="E23" s="469"/>
      <c r="F23" s="372"/>
      <c r="G23" s="372"/>
      <c r="H23" s="373"/>
      <c r="I23" s="379" t="str">
        <f t="shared" si="0"/>
        <v/>
      </c>
      <c r="J23" s="150"/>
      <c r="K23" s="234"/>
      <c r="L23" s="254">
        <f t="shared" si="1"/>
        <v>0</v>
      </c>
      <c r="M23" s="369">
        <f t="shared" si="2"/>
        <v>0</v>
      </c>
      <c r="N23" s="346">
        <f t="shared" si="3"/>
        <v>0</v>
      </c>
      <c r="O23" s="346">
        <f t="shared" si="4"/>
        <v>0</v>
      </c>
      <c r="P23" s="370">
        <f t="shared" si="5"/>
        <v>0</v>
      </c>
      <c r="Q23" s="370">
        <f t="shared" si="6"/>
        <v>0</v>
      </c>
      <c r="R23" s="371">
        <f t="shared" si="7"/>
        <v>0</v>
      </c>
      <c r="S23" s="371">
        <f t="shared" si="8"/>
        <v>0</v>
      </c>
      <c r="T23" s="255">
        <f t="shared" si="9"/>
        <v>0</v>
      </c>
      <c r="U23" s="7"/>
      <c r="V23" s="7"/>
      <c r="W23" s="7"/>
      <c r="X23" s="7"/>
      <c r="Y23" s="7"/>
      <c r="Z23" s="7"/>
      <c r="AA23" s="7"/>
      <c r="AB23" s="7"/>
      <c r="AC23" s="7"/>
      <c r="AD23" s="7"/>
      <c r="AE23" s="7"/>
      <c r="AF23" s="7"/>
      <c r="AG23" s="7"/>
      <c r="AH23" s="7"/>
      <c r="AI23" s="7"/>
      <c r="AJ23" s="7"/>
      <c r="AK23" s="7"/>
      <c r="AL23" s="7"/>
      <c r="AM23" s="7"/>
      <c r="AN23" s="7"/>
    </row>
    <row r="24" spans="1:40" s="6" customFormat="1" ht="14.25" customHeight="1">
      <c r="A24" s="7"/>
      <c r="B24" s="11"/>
      <c r="C24" s="71"/>
      <c r="D24" s="468"/>
      <c r="E24" s="469"/>
      <c r="F24" s="372"/>
      <c r="G24" s="372"/>
      <c r="H24" s="373"/>
      <c r="I24" s="379" t="str">
        <f t="shared" si="0"/>
        <v/>
      </c>
      <c r="J24" s="150"/>
      <c r="K24" s="234"/>
      <c r="L24" s="254">
        <f t="shared" si="1"/>
        <v>0</v>
      </c>
      <c r="M24" s="369">
        <f t="shared" si="2"/>
        <v>0</v>
      </c>
      <c r="N24" s="346">
        <f t="shared" si="3"/>
        <v>0</v>
      </c>
      <c r="O24" s="346">
        <f t="shared" si="4"/>
        <v>0</v>
      </c>
      <c r="P24" s="370">
        <f t="shared" si="5"/>
        <v>0</v>
      </c>
      <c r="Q24" s="370">
        <f t="shared" si="6"/>
        <v>0</v>
      </c>
      <c r="R24" s="371">
        <f t="shared" si="7"/>
        <v>0</v>
      </c>
      <c r="S24" s="371">
        <f t="shared" si="8"/>
        <v>0</v>
      </c>
      <c r="T24" s="255">
        <f t="shared" si="9"/>
        <v>0</v>
      </c>
      <c r="U24" s="7"/>
      <c r="V24" s="7"/>
      <c r="W24" s="7"/>
      <c r="X24" s="7"/>
      <c r="Y24" s="7"/>
      <c r="Z24" s="7"/>
      <c r="AA24" s="7"/>
      <c r="AB24" s="7"/>
      <c r="AC24" s="7"/>
      <c r="AD24" s="7"/>
      <c r="AE24" s="7"/>
      <c r="AF24" s="7"/>
      <c r="AG24" s="7"/>
      <c r="AH24" s="7"/>
      <c r="AI24" s="7"/>
      <c r="AJ24" s="7"/>
      <c r="AK24" s="7"/>
      <c r="AL24" s="7"/>
      <c r="AM24" s="7"/>
      <c r="AN24" s="7"/>
    </row>
    <row r="25" spans="1:40" s="6" customFormat="1" ht="14.25" customHeight="1">
      <c r="A25" s="7"/>
      <c r="B25" s="11"/>
      <c r="C25" s="71"/>
      <c r="D25" s="468"/>
      <c r="E25" s="469"/>
      <c r="F25" s="372"/>
      <c r="G25" s="372"/>
      <c r="H25" s="373"/>
      <c r="I25" s="379" t="str">
        <f t="shared" si="0"/>
        <v/>
      </c>
      <c r="J25" s="150"/>
      <c r="K25" s="234"/>
      <c r="L25" s="254">
        <f t="shared" si="1"/>
        <v>0</v>
      </c>
      <c r="M25" s="369">
        <f t="shared" si="2"/>
        <v>0</v>
      </c>
      <c r="N25" s="346">
        <f t="shared" si="3"/>
        <v>0</v>
      </c>
      <c r="O25" s="346">
        <f t="shared" si="4"/>
        <v>0</v>
      </c>
      <c r="P25" s="370">
        <f t="shared" si="5"/>
        <v>0</v>
      </c>
      <c r="Q25" s="370">
        <f t="shared" si="6"/>
        <v>0</v>
      </c>
      <c r="R25" s="371">
        <f t="shared" si="7"/>
        <v>0</v>
      </c>
      <c r="S25" s="371">
        <f t="shared" si="8"/>
        <v>0</v>
      </c>
      <c r="T25" s="255">
        <f t="shared" si="9"/>
        <v>0</v>
      </c>
      <c r="U25" s="7"/>
      <c r="V25" s="7"/>
      <c r="W25" s="7"/>
      <c r="X25" s="7"/>
      <c r="Y25" s="7"/>
      <c r="Z25" s="7"/>
      <c r="AA25" s="7"/>
      <c r="AB25" s="7"/>
      <c r="AC25" s="7"/>
      <c r="AD25" s="7"/>
      <c r="AE25" s="7"/>
      <c r="AF25" s="7"/>
      <c r="AG25" s="7"/>
      <c r="AH25" s="7"/>
      <c r="AI25" s="7"/>
      <c r="AJ25" s="7"/>
      <c r="AK25" s="7"/>
      <c r="AL25" s="7"/>
      <c r="AM25" s="7"/>
      <c r="AN25" s="7"/>
    </row>
    <row r="26" spans="1:40" s="6" customFormat="1" ht="14.25" customHeight="1">
      <c r="A26" s="7"/>
      <c r="B26" s="11"/>
      <c r="C26" s="71"/>
      <c r="D26" s="468"/>
      <c r="E26" s="469"/>
      <c r="F26" s="372"/>
      <c r="G26" s="372"/>
      <c r="H26" s="373"/>
      <c r="I26" s="379" t="str">
        <f t="shared" si="0"/>
        <v/>
      </c>
      <c r="J26" s="150"/>
      <c r="K26" s="234"/>
      <c r="L26" s="254">
        <f t="shared" si="1"/>
        <v>0</v>
      </c>
      <c r="M26" s="369">
        <f t="shared" si="2"/>
        <v>0</v>
      </c>
      <c r="N26" s="346">
        <f t="shared" si="3"/>
        <v>0</v>
      </c>
      <c r="O26" s="346">
        <f t="shared" si="4"/>
        <v>0</v>
      </c>
      <c r="P26" s="370">
        <f t="shared" si="5"/>
        <v>0</v>
      </c>
      <c r="Q26" s="370">
        <f t="shared" si="6"/>
        <v>0</v>
      </c>
      <c r="R26" s="371">
        <f t="shared" si="7"/>
        <v>0</v>
      </c>
      <c r="S26" s="371">
        <f t="shared" si="8"/>
        <v>0</v>
      </c>
      <c r="T26" s="255">
        <f t="shared" si="9"/>
        <v>0</v>
      </c>
      <c r="U26" s="7"/>
      <c r="V26" s="7"/>
      <c r="W26" s="7"/>
      <c r="X26" s="7"/>
      <c r="Y26" s="7"/>
      <c r="Z26" s="7"/>
      <c r="AA26" s="7"/>
      <c r="AB26" s="7"/>
      <c r="AC26" s="7"/>
      <c r="AD26" s="7"/>
      <c r="AE26" s="7"/>
      <c r="AF26" s="7"/>
      <c r="AG26" s="7"/>
      <c r="AH26" s="7"/>
      <c r="AI26" s="7"/>
      <c r="AJ26" s="7"/>
      <c r="AK26" s="7"/>
      <c r="AL26" s="7"/>
      <c r="AM26" s="7"/>
      <c r="AN26" s="7"/>
    </row>
    <row r="27" spans="1:40" s="6" customFormat="1" ht="14.25" customHeight="1" thickBot="1">
      <c r="A27" s="7"/>
      <c r="B27" s="11"/>
      <c r="C27" s="71"/>
      <c r="D27" s="468"/>
      <c r="E27" s="469"/>
      <c r="F27" s="372"/>
      <c r="G27" s="372"/>
      <c r="H27" s="373"/>
      <c r="I27" s="379" t="str">
        <f t="shared" si="0"/>
        <v/>
      </c>
      <c r="J27" s="150"/>
      <c r="K27" s="234"/>
      <c r="L27" s="256">
        <f t="shared" si="1"/>
        <v>0</v>
      </c>
      <c r="M27" s="257">
        <f t="shared" si="2"/>
        <v>0</v>
      </c>
      <c r="N27" s="347">
        <f t="shared" si="3"/>
        <v>0</v>
      </c>
      <c r="O27" s="347">
        <f t="shared" si="4"/>
        <v>0</v>
      </c>
      <c r="P27" s="247">
        <f t="shared" si="5"/>
        <v>0</v>
      </c>
      <c r="Q27" s="247">
        <f t="shared" si="6"/>
        <v>0</v>
      </c>
      <c r="R27" s="245">
        <f t="shared" si="7"/>
        <v>0</v>
      </c>
      <c r="S27" s="245">
        <f t="shared" si="8"/>
        <v>0</v>
      </c>
      <c r="T27" s="258">
        <f t="shared" si="9"/>
        <v>0</v>
      </c>
      <c r="U27" s="7"/>
      <c r="V27" s="7"/>
      <c r="W27" s="7"/>
      <c r="X27" s="7"/>
      <c r="Y27" s="7"/>
      <c r="Z27" s="7"/>
      <c r="AA27" s="7"/>
      <c r="AB27" s="7"/>
      <c r="AC27" s="7"/>
      <c r="AD27" s="7"/>
      <c r="AE27" s="7"/>
      <c r="AF27" s="7"/>
      <c r="AG27" s="7"/>
      <c r="AH27" s="7"/>
      <c r="AI27" s="7"/>
      <c r="AJ27" s="7"/>
      <c r="AK27" s="7"/>
      <c r="AL27" s="7"/>
      <c r="AM27" s="7"/>
      <c r="AN27" s="7"/>
    </row>
    <row r="28" spans="1:40" s="6" customFormat="1" ht="14.25" customHeight="1" thickBot="1">
      <c r="A28" s="7"/>
      <c r="B28" s="11"/>
      <c r="C28" s="71"/>
      <c r="D28" s="382" t="str">
        <f>IF(OR(H28&gt;D13*1.1,H28&lt;D13/1.1),"Gewicht Zusammensetzung prüfen: Abweichung &gt;10%",DeklGewichtOK)</f>
        <v>Deklariertes Gesamtgewicht OK</v>
      </c>
      <c r="E28" s="147"/>
      <c r="F28" s="71"/>
      <c r="G28" s="71"/>
      <c r="H28" s="260">
        <f>SUMIF(I$16:I$27,"kg",H$16:H$27)</f>
        <v>0</v>
      </c>
      <c r="I28" s="379" t="s">
        <v>31</v>
      </c>
      <c r="J28" s="150"/>
      <c r="K28" s="239" t="s">
        <v>165</v>
      </c>
      <c r="L28" s="420" t="s">
        <v>160</v>
      </c>
      <c r="M28" s="421"/>
      <c r="N28" s="421" t="s">
        <v>161</v>
      </c>
      <c r="O28" s="421"/>
      <c r="P28" s="421" t="s">
        <v>161</v>
      </c>
      <c r="Q28" s="421"/>
      <c r="R28" s="421" t="s">
        <v>162</v>
      </c>
      <c r="S28" s="421"/>
      <c r="T28" s="421" t="s">
        <v>401</v>
      </c>
      <c r="U28" s="7"/>
      <c r="V28" s="7"/>
      <c r="W28" s="7"/>
      <c r="X28" s="7"/>
      <c r="Y28" s="7"/>
      <c r="Z28" s="7"/>
      <c r="AA28" s="7"/>
      <c r="AB28" s="7"/>
      <c r="AC28" s="7"/>
      <c r="AD28" s="7"/>
      <c r="AE28" s="7"/>
      <c r="AF28" s="7"/>
      <c r="AG28" s="7"/>
      <c r="AH28" s="7"/>
      <c r="AI28" s="7"/>
      <c r="AJ28" s="7"/>
      <c r="AK28" s="7"/>
      <c r="AL28" s="7"/>
      <c r="AM28" s="7"/>
      <c r="AN28" s="7"/>
    </row>
    <row r="29" spans="1:40" s="6" customFormat="1" ht="14.25" customHeight="1">
      <c r="A29" s="7"/>
      <c r="B29" s="348"/>
      <c r="C29" s="447"/>
      <c r="D29" s="448" t="s">
        <v>56</v>
      </c>
      <c r="E29" s="449"/>
      <c r="F29" s="448" t="s">
        <v>415</v>
      </c>
      <c r="G29" s="448"/>
      <c r="H29" s="450" t="s">
        <v>414</v>
      </c>
      <c r="I29" s="448" t="s">
        <v>158</v>
      </c>
      <c r="J29" s="150"/>
      <c r="K29" s="342"/>
      <c r="L29" s="237"/>
      <c r="M29" s="343"/>
      <c r="N29" s="343"/>
      <c r="O29" s="343"/>
      <c r="P29" s="343"/>
      <c r="Q29" s="343"/>
      <c r="R29" s="343"/>
      <c r="S29" s="343"/>
      <c r="T29" s="343"/>
      <c r="U29" s="7"/>
      <c r="V29" s="7"/>
      <c r="W29" s="7"/>
      <c r="X29" s="7"/>
      <c r="Y29" s="7"/>
      <c r="Z29" s="7"/>
      <c r="AA29" s="7"/>
      <c r="AB29" s="7"/>
      <c r="AC29" s="7"/>
      <c r="AD29" s="7"/>
      <c r="AE29" s="7"/>
      <c r="AF29" s="7"/>
      <c r="AG29" s="7"/>
      <c r="AH29" s="7"/>
      <c r="AI29" s="7"/>
      <c r="AJ29" s="7"/>
      <c r="AK29" s="7"/>
      <c r="AL29" s="7"/>
      <c r="AM29" s="7"/>
      <c r="AN29" s="7"/>
    </row>
    <row r="30" spans="1:40" s="6" customFormat="1" ht="14.25" customHeight="1">
      <c r="A30" s="7"/>
      <c r="B30" s="11"/>
      <c r="C30" s="10" t="s">
        <v>402</v>
      </c>
      <c r="D30" s="468"/>
      <c r="E30" s="469"/>
      <c r="F30" s="472"/>
      <c r="G30" s="473"/>
      <c r="H30" s="381"/>
      <c r="I30" s="379" t="str">
        <f>IF(ISBLANK(H30),"","km")</f>
        <v/>
      </c>
      <c r="J30" s="150"/>
      <c r="K30" s="234"/>
      <c r="L30" s="254">
        <f>IFERROR(VLOOKUP($F30,MxTransporte,4,FALSE)*$H30*($H$28/1000)*$H$13,0)</f>
        <v>0</v>
      </c>
      <c r="M30" s="10"/>
      <c r="N30" s="246">
        <f>IFERROR(VLOOKUP($F30,MxTransporte,12,FALSE)*$H30*($H$28/1000)*$H$13,0)</f>
        <v>0</v>
      </c>
      <c r="O30" s="10"/>
      <c r="P30" s="246">
        <f>IFERROR(VLOOKUP($F30,MxTransporte,16,FALSE)*$H30*($H$28/1000)*$H$13,0)</f>
        <v>0</v>
      </c>
      <c r="Q30" s="10"/>
      <c r="R30" s="244">
        <f>IFERROR(VLOOKUP($F30,MxTransporte,20,FALSE)*$H30*($H$28/1000)*$H$13,0)</f>
        <v>0</v>
      </c>
      <c r="S30" s="10"/>
      <c r="T30" s="10"/>
      <c r="U30" s="7"/>
      <c r="V30" s="7"/>
      <c r="W30" s="7"/>
      <c r="X30" s="7"/>
      <c r="Y30" s="7"/>
      <c r="Z30" s="7"/>
      <c r="AA30" s="7"/>
      <c r="AB30" s="7"/>
      <c r="AC30" s="7"/>
      <c r="AD30" s="7"/>
      <c r="AE30" s="7"/>
      <c r="AF30" s="7"/>
      <c r="AG30" s="7"/>
      <c r="AH30" s="7"/>
      <c r="AI30" s="7"/>
      <c r="AJ30" s="7"/>
      <c r="AK30" s="7"/>
      <c r="AL30" s="7"/>
      <c r="AM30" s="7"/>
      <c r="AN30" s="7"/>
    </row>
    <row r="31" spans="1:40" s="6" customFormat="1" ht="14.25" customHeight="1">
      <c r="A31" s="7"/>
      <c r="B31" s="11"/>
      <c r="C31" s="145" t="s">
        <v>403</v>
      </c>
      <c r="D31" s="468"/>
      <c r="E31" s="469"/>
      <c r="F31" s="472"/>
      <c r="G31" s="473"/>
      <c r="H31" s="381"/>
      <c r="I31" s="379" t="str">
        <f t="shared" ref="I31:I32" si="10">IF(ISBLANK(H31),"","km")</f>
        <v/>
      </c>
      <c r="J31" s="150"/>
      <c r="K31" s="234"/>
      <c r="L31" s="254">
        <f>IFERROR(VLOOKUP($F31,MxTransporte,4,FALSE)*$H31*($H$28/1000)*$H$13,0)</f>
        <v>0</v>
      </c>
      <c r="M31" s="10"/>
      <c r="N31" s="246">
        <f>IFERROR(VLOOKUP($F31,MxTransporte,12,FALSE)*$H31*($H$28/1000)*$H$13,0)</f>
        <v>0</v>
      </c>
      <c r="O31" s="10"/>
      <c r="P31" s="246">
        <f>IFERROR(VLOOKUP($F31,MxTransporte,16,FALSE)*$H31*($H$28/1000)*$H$13,0)</f>
        <v>0</v>
      </c>
      <c r="Q31" s="10"/>
      <c r="R31" s="244">
        <f>IFERROR(VLOOKUP($F31,MxTransporte,20,FALSE)*$H31*($H$28/1000)*$H$13,0)</f>
        <v>0</v>
      </c>
      <c r="S31" s="10"/>
      <c r="T31" s="10"/>
      <c r="U31" s="7"/>
      <c r="V31" s="7"/>
      <c r="W31" s="7"/>
      <c r="X31" s="7"/>
      <c r="Y31" s="7"/>
      <c r="Z31" s="7"/>
      <c r="AA31" s="7"/>
      <c r="AB31" s="7"/>
      <c r="AC31" s="7"/>
      <c r="AD31" s="7"/>
      <c r="AE31" s="7"/>
      <c r="AF31" s="7"/>
      <c r="AG31" s="7"/>
      <c r="AH31" s="7"/>
      <c r="AI31" s="7"/>
      <c r="AJ31" s="7"/>
      <c r="AK31" s="7"/>
      <c r="AL31" s="7"/>
      <c r="AM31" s="7"/>
      <c r="AN31" s="7"/>
    </row>
    <row r="32" spans="1:40" s="6" customFormat="1" ht="14.25" customHeight="1" thickBot="1">
      <c r="A32" s="7"/>
      <c r="B32" s="10"/>
      <c r="C32" s="10"/>
      <c r="D32" s="468"/>
      <c r="E32" s="469"/>
      <c r="F32" s="472"/>
      <c r="G32" s="473"/>
      <c r="H32" s="381"/>
      <c r="I32" s="379" t="str">
        <f t="shared" si="10"/>
        <v/>
      </c>
      <c r="J32" s="7"/>
      <c r="K32" s="234"/>
      <c r="L32" s="254">
        <f>IFERROR(VLOOKUP($F32,MxTransporte,4,FALSE)*$H32*($H$28/1000)*$H$13,0)</f>
        <v>0</v>
      </c>
      <c r="M32" s="10"/>
      <c r="N32" s="246">
        <f>IFERROR(VLOOKUP($F32,MxTransporte,12,FALSE)*$H32*($H$28/1000)*$H$13,0)</f>
        <v>0</v>
      </c>
      <c r="O32" s="10"/>
      <c r="P32" s="246">
        <f>IFERROR(VLOOKUP($F32,MxTransporte,16,FALSE)*$H32*($H$28/1000)*$H$13,0)</f>
        <v>0</v>
      </c>
      <c r="Q32" s="10"/>
      <c r="R32" s="244">
        <f>IFERROR(VLOOKUP($F32,MxTransporte,20,FALSE)*$H32*($H$28/1000)*$H$13,0)</f>
        <v>0</v>
      </c>
      <c r="S32" s="10"/>
      <c r="T32" s="10"/>
      <c r="U32" s="7"/>
      <c r="V32" s="7"/>
      <c r="W32" s="7"/>
      <c r="X32" s="7"/>
      <c r="Y32" s="7"/>
      <c r="Z32" s="7"/>
      <c r="AA32" s="7"/>
      <c r="AB32" s="7"/>
      <c r="AC32" s="7"/>
      <c r="AD32" s="7"/>
      <c r="AE32" s="7"/>
      <c r="AF32" s="7"/>
      <c r="AG32" s="7"/>
      <c r="AH32" s="7"/>
      <c r="AI32" s="7"/>
      <c r="AJ32" s="7"/>
      <c r="AK32" s="7"/>
      <c r="AL32" s="7"/>
      <c r="AM32" s="7"/>
      <c r="AN32" s="7"/>
    </row>
    <row r="33" spans="1:40" s="6" customFormat="1" ht="13.5" customHeight="1" thickBot="1">
      <c r="A33" s="7"/>
      <c r="B33" s="171"/>
      <c r="C33" s="171"/>
      <c r="D33" s="171"/>
      <c r="E33" s="171"/>
      <c r="F33" s="171"/>
      <c r="G33" s="171"/>
      <c r="H33" s="171"/>
      <c r="I33" s="171"/>
      <c r="J33" s="7"/>
      <c r="K33" s="234"/>
      <c r="L33" s="433">
        <f>IF($T$33=TRUE,Konstanten!C$36*$H28/1000*DefTransD,SUM(L30:L32))</f>
        <v>0</v>
      </c>
      <c r="M33" s="434"/>
      <c r="N33" s="435">
        <f>IF($T$33=TRUE,Konstanten!D$36*$H28/1000*DefTransD,SUM(N30:N32))</f>
        <v>0</v>
      </c>
      <c r="O33" s="435"/>
      <c r="P33" s="435">
        <f>IF($T$33=TRUE,Konstanten!E$36*$H28/1000*DefTransD,SUM(P30:P32))</f>
        <v>0</v>
      </c>
      <c r="Q33" s="435"/>
      <c r="R33" s="435">
        <f>IF($T$33=TRUE,Konstanten!F$36*$H28/1000*DefTransD,SUM(R30:R32))</f>
        <v>0</v>
      </c>
      <c r="S33" s="434"/>
      <c r="T33" s="442" t="b">
        <v>1</v>
      </c>
      <c r="U33" s="7"/>
      <c r="V33" s="7"/>
      <c r="W33" s="7"/>
      <c r="X33" s="7"/>
      <c r="Y33" s="7"/>
      <c r="Z33" s="7"/>
      <c r="AA33" s="7"/>
      <c r="AB33" s="7"/>
      <c r="AC33" s="7"/>
      <c r="AD33" s="7"/>
      <c r="AE33" s="7"/>
      <c r="AF33" s="7"/>
      <c r="AG33" s="7"/>
      <c r="AH33" s="7"/>
      <c r="AI33" s="7"/>
      <c r="AJ33" s="7"/>
      <c r="AK33" s="7"/>
      <c r="AL33" s="7"/>
      <c r="AM33" s="7"/>
      <c r="AN33" s="7"/>
    </row>
    <row r="34" spans="1:40" s="6" customFormat="1" ht="14.25" customHeight="1" thickBot="1">
      <c r="A34" s="7"/>
      <c r="B34" s="300"/>
      <c r="C34" s="300"/>
      <c r="D34" s="374" t="s">
        <v>56</v>
      </c>
      <c r="E34" s="374"/>
      <c r="F34" s="374" t="s">
        <v>325</v>
      </c>
      <c r="G34" s="374"/>
      <c r="H34" s="375" t="s">
        <v>324</v>
      </c>
      <c r="I34" s="374" t="s">
        <v>158</v>
      </c>
      <c r="J34" s="7"/>
      <c r="K34" s="239" t="s">
        <v>238</v>
      </c>
      <c r="L34" s="420" t="s">
        <v>160</v>
      </c>
      <c r="M34" s="421"/>
      <c r="N34" s="421" t="s">
        <v>161</v>
      </c>
      <c r="O34" s="421"/>
      <c r="P34" s="421" t="s">
        <v>161</v>
      </c>
      <c r="Q34" s="421"/>
      <c r="R34" s="421" t="s">
        <v>162</v>
      </c>
      <c r="S34" s="421"/>
      <c r="T34" s="421" t="s">
        <v>328</v>
      </c>
      <c r="U34" s="7"/>
      <c r="V34" s="7"/>
      <c r="W34" s="7"/>
      <c r="X34" s="7"/>
      <c r="Y34" s="7"/>
      <c r="Z34" s="7"/>
      <c r="AA34" s="7"/>
      <c r="AB34" s="7"/>
      <c r="AC34" s="7"/>
      <c r="AD34" s="7"/>
      <c r="AE34" s="7"/>
      <c r="AF34" s="7"/>
      <c r="AG34" s="7"/>
      <c r="AH34" s="7"/>
      <c r="AI34" s="7"/>
      <c r="AJ34" s="7"/>
      <c r="AK34" s="7"/>
      <c r="AL34" s="7"/>
      <c r="AM34" s="7"/>
      <c r="AN34" s="7"/>
    </row>
    <row r="35" spans="1:40" s="6" customFormat="1" ht="13.5" customHeight="1">
      <c r="A35" s="7"/>
      <c r="B35" s="300"/>
      <c r="C35" s="305" t="s">
        <v>336</v>
      </c>
      <c r="D35" s="468"/>
      <c r="E35" s="469"/>
      <c r="F35" s="472"/>
      <c r="G35" s="473"/>
      <c r="H35" s="376"/>
      <c r="I35" s="379" t="str">
        <f>IF(ISBLANK(H35),"","kWh")</f>
        <v/>
      </c>
      <c r="J35" s="7"/>
      <c r="K35" s="342" t="s">
        <v>355</v>
      </c>
      <c r="L35" s="254">
        <f>IFERROR(VLOOKUP($F35,MxEnergieS,4,FALSE)*($H35/$H$38)*$D$13*Anzahl*$P$45,0)</f>
        <v>0</v>
      </c>
      <c r="M35" s="369"/>
      <c r="N35" s="418">
        <f>IFERROR(VLOOKUP($F35,MxEnergieS,6,FALSE)*($H35/$H$38)*$D$13*Anzahl*$P$45,0)</f>
        <v>0</v>
      </c>
      <c r="O35" s="369"/>
      <c r="P35" s="418">
        <f>IFERROR(VLOOKUP($F35,MxEnergieS,7,FALSE)*($H35/$H$38)*$D$13*Anzahl*$P$45,0)</f>
        <v>0</v>
      </c>
      <c r="Q35" s="369"/>
      <c r="R35" s="419">
        <f>IFERROR(VLOOKUP($F35,MxEnergieS,9,FALSE)*($H35/$H$38)*$D$13*Anzahl*$P$45,0)</f>
        <v>0</v>
      </c>
      <c r="S35" s="343"/>
      <c r="T35" s="10"/>
      <c r="U35" s="7"/>
      <c r="V35" s="7"/>
      <c r="W35" s="7"/>
      <c r="X35" s="7"/>
      <c r="Y35" s="7"/>
      <c r="Z35" s="7"/>
      <c r="AA35" s="7"/>
      <c r="AB35" s="7"/>
      <c r="AC35" s="7"/>
      <c r="AD35" s="7"/>
      <c r="AE35" s="7"/>
      <c r="AF35" s="7"/>
      <c r="AG35" s="7"/>
      <c r="AH35" s="7"/>
      <c r="AI35" s="7"/>
      <c r="AJ35" s="7"/>
      <c r="AK35" s="7"/>
      <c r="AL35" s="7"/>
      <c r="AM35" s="7"/>
      <c r="AN35" s="7"/>
    </row>
    <row r="36" spans="1:40" s="6" customFormat="1" ht="13.5" customHeight="1">
      <c r="A36" s="7"/>
      <c r="B36" s="300"/>
      <c r="C36" s="300"/>
      <c r="D36" s="468"/>
      <c r="E36" s="469"/>
      <c r="F36" s="472"/>
      <c r="G36" s="473"/>
      <c r="H36" s="376"/>
      <c r="I36" s="379" t="str">
        <f t="shared" ref="I36:I37" si="11">IF(ISBLANK(H36),"","kWh")</f>
        <v/>
      </c>
      <c r="J36" s="7"/>
      <c r="K36" s="10"/>
      <c r="L36" s="254">
        <f>IFERROR(VLOOKUP($F36,MxEnergieS,4,FALSE)*($H36/$H$38)*$D$13*Anzahl*$P$45,0)</f>
        <v>0</v>
      </c>
      <c r="M36" s="369"/>
      <c r="N36" s="418">
        <f>IFERROR(VLOOKUP($F36,MxEnergieS,6,FALSE)*($H36/$H$38)*$D$13*Anzahl*$P$45,0)</f>
        <v>0</v>
      </c>
      <c r="O36" s="369"/>
      <c r="P36" s="418">
        <f>IFERROR(VLOOKUP($F36,MxEnergieS,7,FALSE)*($H36/$H$38)*$D$13*Anzahl*$P$45,0)</f>
        <v>0</v>
      </c>
      <c r="Q36" s="369"/>
      <c r="R36" s="419">
        <f>IFERROR(VLOOKUP($F36,MxEnergieS,9,FALSE)*($H36/$H$38)*$D$13*Anzahl*$P$45,0)</f>
        <v>0</v>
      </c>
      <c r="S36" s="343"/>
      <c r="T36" s="343"/>
      <c r="U36" s="7"/>
      <c r="V36" s="7"/>
      <c r="W36" s="7"/>
      <c r="X36" s="7"/>
      <c r="Y36" s="7"/>
      <c r="Z36" s="7"/>
      <c r="AA36" s="7"/>
      <c r="AB36" s="7"/>
      <c r="AC36" s="7"/>
      <c r="AD36" s="7"/>
      <c r="AE36" s="7"/>
      <c r="AF36" s="7"/>
      <c r="AG36" s="7"/>
      <c r="AH36" s="7"/>
      <c r="AI36" s="7"/>
      <c r="AJ36" s="7"/>
      <c r="AK36" s="7"/>
      <c r="AL36" s="7"/>
      <c r="AM36" s="7"/>
      <c r="AN36" s="7"/>
    </row>
    <row r="37" spans="1:40" s="6" customFormat="1" ht="13.5" customHeight="1" thickBot="1">
      <c r="A37" s="7"/>
      <c r="B37" s="300"/>
      <c r="C37" s="300"/>
      <c r="D37" s="468"/>
      <c r="E37" s="469"/>
      <c r="F37" s="472"/>
      <c r="G37" s="473"/>
      <c r="H37" s="376"/>
      <c r="I37" s="379" t="str">
        <f t="shared" si="11"/>
        <v/>
      </c>
      <c r="J37" s="7"/>
      <c r="K37" s="10"/>
      <c r="L37" s="254">
        <f>IFERROR(VLOOKUP($F37,MxEnergieS,4,FALSE)*($H37/$H$38)*$D$13*Anzahl*$P$45,0)</f>
        <v>0</v>
      </c>
      <c r="M37" s="369"/>
      <c r="N37" s="418">
        <f>IFERROR(VLOOKUP($F37,MxEnergieS,6,FALSE)*($H37/$H$38)*$D$13*Anzahl*$P$45,0)</f>
        <v>0</v>
      </c>
      <c r="O37" s="369"/>
      <c r="P37" s="418">
        <f>IFERROR(VLOOKUP($F37,MxEnergieS,7,FALSE)*($H37/$H$38)*$D$13*Anzahl*$P$45,0)</f>
        <v>0</v>
      </c>
      <c r="Q37" s="369"/>
      <c r="R37" s="419">
        <f>IFERROR(VLOOKUP($F37,MxEnergieS,9,FALSE)*($H37/$H$38)*$D$13*Anzahl*$P$45,0)</f>
        <v>0</v>
      </c>
      <c r="S37" s="343"/>
      <c r="T37" s="343"/>
      <c r="U37" s="7"/>
      <c r="V37" s="7"/>
      <c r="W37" s="7"/>
      <c r="X37" s="7"/>
      <c r="Y37" s="7"/>
      <c r="Z37" s="7"/>
      <c r="AA37" s="7"/>
      <c r="AB37" s="7"/>
      <c r="AC37" s="7"/>
      <c r="AD37" s="7"/>
      <c r="AE37" s="7"/>
      <c r="AF37" s="7"/>
      <c r="AG37" s="7"/>
      <c r="AH37" s="7"/>
      <c r="AI37" s="7"/>
      <c r="AJ37" s="7"/>
      <c r="AK37" s="7"/>
      <c r="AL37" s="7"/>
      <c r="AM37" s="7"/>
      <c r="AN37" s="7"/>
    </row>
    <row r="38" spans="1:40" s="6" customFormat="1" ht="13.5" customHeight="1" thickBot="1">
      <c r="A38" s="7"/>
      <c r="B38" s="300"/>
      <c r="C38" s="300"/>
      <c r="D38" s="352" t="str">
        <f>IF(T38=TRUE,"Übernahme Werte aus Blatt Start",IF(OR(H38&gt;1.01,H38&lt;0.99),DeklAnteilNotOK,DeklAnteilOK))</f>
        <v>Übernahme Werte aus Blatt Start</v>
      </c>
      <c r="E38" s="147"/>
      <c r="F38" s="300"/>
      <c r="G38" s="300"/>
      <c r="H38" s="383" t="str">
        <f>IF(T38=TRUE,"",SUM(H35:H37))</f>
        <v/>
      </c>
      <c r="I38" s="380"/>
      <c r="J38" s="7"/>
      <c r="K38" s="422"/>
      <c r="L38" s="426">
        <f>IF($T$38=TRUE,L$9*$P$45*$D$13*Anzahl,SUM(L$35:L$37))</f>
        <v>0</v>
      </c>
      <c r="M38" s="428"/>
      <c r="N38" s="427">
        <f>IF($T$38=TRUE,N$9*$P$45*$D$13*Anzahl,SUM(N$35:N$37))</f>
        <v>0</v>
      </c>
      <c r="O38" s="428"/>
      <c r="P38" s="427">
        <f>IF($T$38=TRUE,P$9*$P$45*$D$13*Anzahl,SUM(P$35:P$37))</f>
        <v>0</v>
      </c>
      <c r="Q38" s="428"/>
      <c r="R38" s="429">
        <f>IF($T$38=TRUE,R$9*$P$45*$D$13*Anzahl,SUM(R$35:R$37))</f>
        <v>0</v>
      </c>
      <c r="S38" s="421"/>
      <c r="T38" s="442" t="b">
        <v>1</v>
      </c>
      <c r="U38" s="7"/>
      <c r="V38" s="7"/>
      <c r="W38" s="7"/>
      <c r="X38" s="7"/>
      <c r="Y38" s="7"/>
      <c r="Z38" s="7"/>
      <c r="AA38" s="7"/>
      <c r="AB38" s="7"/>
      <c r="AC38" s="7"/>
      <c r="AD38" s="7"/>
      <c r="AE38" s="7"/>
      <c r="AF38" s="7"/>
      <c r="AG38" s="7"/>
      <c r="AH38" s="7"/>
      <c r="AI38" s="7"/>
      <c r="AJ38" s="7"/>
      <c r="AK38" s="7"/>
      <c r="AL38" s="7"/>
      <c r="AM38" s="7"/>
      <c r="AN38" s="7"/>
    </row>
    <row r="39" spans="1:40" s="6" customFormat="1" ht="13.5" customHeight="1">
      <c r="A39" s="7"/>
      <c r="B39" s="300"/>
      <c r="C39" s="305" t="s">
        <v>337</v>
      </c>
      <c r="D39" s="468"/>
      <c r="E39" s="469"/>
      <c r="F39" s="472"/>
      <c r="G39" s="473"/>
      <c r="H39" s="376"/>
      <c r="I39" s="379" t="str">
        <f>IF(ISBLANK(H39),"","kWh")</f>
        <v/>
      </c>
      <c r="J39" s="7"/>
      <c r="K39" s="239" t="s">
        <v>238</v>
      </c>
      <c r="L39" s="254">
        <f>IFERROR(VLOOKUP($F39,MxEnergieW,4,FALSE)*($H39/$H$42)*$D$13*Anzahl*$R$45,0)</f>
        <v>0</v>
      </c>
      <c r="M39" s="343"/>
      <c r="N39" s="423">
        <f>IFERROR(VLOOKUP($F39,MxEnergieW,6,FALSE)*($H39/$H$42)*$D$13*Anzahl*$R$45,0)</f>
        <v>0</v>
      </c>
      <c r="O39" s="424"/>
      <c r="P39" s="423">
        <f>IFERROR(VLOOKUP($F39,MxEnergieW,7,FALSE)*($H39/$H$42)*$D$13*Anzahl*$R$45,0)</f>
        <v>0</v>
      </c>
      <c r="Q39" s="343"/>
      <c r="R39" s="425">
        <f>IFERROR(VLOOKUP($F39,MxEnergieW,9,FALSE)*($H39/$H$42)*$D$13*Anzahl*$R$45,0)</f>
        <v>0</v>
      </c>
      <c r="S39" s="343"/>
      <c r="T39" s="10"/>
      <c r="U39" s="7"/>
      <c r="V39" s="7"/>
      <c r="W39" s="7"/>
      <c r="X39" s="7"/>
      <c r="Y39" s="7"/>
      <c r="Z39" s="7"/>
      <c r="AA39" s="7"/>
      <c r="AB39" s="7"/>
      <c r="AC39" s="7"/>
      <c r="AD39" s="7"/>
      <c r="AE39" s="7"/>
      <c r="AF39" s="7"/>
      <c r="AG39" s="7"/>
      <c r="AH39" s="7"/>
      <c r="AI39" s="7"/>
      <c r="AJ39" s="7"/>
      <c r="AK39" s="7"/>
      <c r="AL39" s="7"/>
      <c r="AM39" s="7"/>
      <c r="AN39" s="7"/>
    </row>
    <row r="40" spans="1:40" s="6" customFormat="1" ht="13.5" customHeight="1">
      <c r="A40" s="7"/>
      <c r="B40" s="300"/>
      <c r="C40" s="300"/>
      <c r="D40" s="468"/>
      <c r="E40" s="469"/>
      <c r="F40" s="472"/>
      <c r="G40" s="473"/>
      <c r="H40" s="376"/>
      <c r="I40" s="379" t="str">
        <f t="shared" ref="I40:I41" si="12">IF(ISBLANK(H40),"","kWh")</f>
        <v/>
      </c>
      <c r="J40" s="7"/>
      <c r="K40" s="145" t="s">
        <v>356</v>
      </c>
      <c r="L40" s="254">
        <f>IFERROR(VLOOKUP($F40,MxEnergieW,4,FALSE)*($H40/$H$42)*$D$13*Anzahl*$R$45,0)</f>
        <v>0</v>
      </c>
      <c r="M40" s="343"/>
      <c r="N40" s="423">
        <f>IFERROR(VLOOKUP($F40,MxEnergieW,6,FALSE)*($H40/$H$42)*$D$13*Anzahl*$R$45,0)</f>
        <v>0</v>
      </c>
      <c r="O40" s="424"/>
      <c r="P40" s="423">
        <f>IFERROR(VLOOKUP($F40,MxEnergieW,7,FALSE)*($H40/$H$42)*$D$13*Anzahl*$R$45,0)</f>
        <v>0</v>
      </c>
      <c r="Q40" s="343"/>
      <c r="R40" s="425">
        <f>IFERROR(VLOOKUP($F40,MxEnergieW,9,FALSE)*($H40/$H$42)*$D$13*Anzahl*$R$45,0)</f>
        <v>0</v>
      </c>
      <c r="S40" s="343"/>
      <c r="T40" s="343"/>
      <c r="U40" s="7"/>
      <c r="V40" s="7"/>
      <c r="W40" s="7"/>
      <c r="X40" s="7"/>
      <c r="Y40" s="7"/>
      <c r="Z40" s="7"/>
      <c r="AA40" s="7"/>
      <c r="AB40" s="7"/>
      <c r="AC40" s="7"/>
      <c r="AD40" s="7"/>
      <c r="AE40" s="7"/>
      <c r="AF40" s="7"/>
      <c r="AG40" s="7"/>
      <c r="AH40" s="7"/>
      <c r="AI40" s="7"/>
      <c r="AJ40" s="7"/>
      <c r="AK40" s="7"/>
      <c r="AL40" s="7"/>
      <c r="AM40" s="7"/>
      <c r="AN40" s="7"/>
    </row>
    <row r="41" spans="1:40" s="6" customFormat="1" ht="13.5" customHeight="1" thickBot="1">
      <c r="A41" s="7"/>
      <c r="B41" s="300"/>
      <c r="C41" s="300"/>
      <c r="D41" s="468"/>
      <c r="E41" s="469"/>
      <c r="F41" s="472"/>
      <c r="G41" s="473"/>
      <c r="H41" s="376"/>
      <c r="I41" s="379" t="str">
        <f t="shared" si="12"/>
        <v/>
      </c>
      <c r="J41" s="7"/>
      <c r="K41" s="10"/>
      <c r="L41" s="254">
        <f>IFERROR(VLOOKUP($F41,MxEnergieW,4,FALSE)*($H41/$H$42)*$D$13*Anzahl*$R$45,0)</f>
        <v>0</v>
      </c>
      <c r="M41" s="343"/>
      <c r="N41" s="423">
        <f>IFERROR(VLOOKUP($F41,MxEnergieW,6,FALSE)*($H41/$H$42)*$D$13*Anzahl*$R$45,0)</f>
        <v>0</v>
      </c>
      <c r="O41" s="424"/>
      <c r="P41" s="423">
        <f>IFERROR(VLOOKUP($F41,MxEnergieW,7,FALSE)*($H41/$H$42)*$D$13*Anzahl*$R$45,0)</f>
        <v>0</v>
      </c>
      <c r="Q41" s="343"/>
      <c r="R41" s="425">
        <f>IFERROR(VLOOKUP($F41,MxEnergieW,9,FALSE)*($H41/$H$42)*$D$13*Anzahl*$R$45,0)</f>
        <v>0</v>
      </c>
      <c r="S41" s="343"/>
      <c r="T41" s="343"/>
      <c r="U41" s="7"/>
      <c r="V41" s="7"/>
      <c r="W41" s="7"/>
      <c r="X41" s="7"/>
      <c r="Y41" s="7"/>
      <c r="Z41" s="7"/>
      <c r="AA41" s="7"/>
      <c r="AB41" s="7"/>
      <c r="AC41" s="7"/>
      <c r="AD41" s="7"/>
      <c r="AE41" s="7"/>
      <c r="AF41" s="7"/>
      <c r="AG41" s="7"/>
      <c r="AH41" s="7"/>
      <c r="AI41" s="7"/>
      <c r="AJ41" s="7"/>
      <c r="AK41" s="7"/>
      <c r="AL41" s="7"/>
      <c r="AM41" s="7"/>
      <c r="AN41" s="7"/>
    </row>
    <row r="42" spans="1:40" s="6" customFormat="1" ht="13.5" customHeight="1" thickBot="1">
      <c r="A42" s="7"/>
      <c r="B42" s="300"/>
      <c r="C42" s="300"/>
      <c r="D42" s="352" t="str">
        <f>IF(T42=TRUE,"Übernahme Werte aus Blatt Start",IF(OR(H42&gt;1.01,H42&lt;0.99),DeklAnteilNotOK,DeklAnteilOK))</f>
        <v>Übernahme Werte aus Blatt Start</v>
      </c>
      <c r="E42" s="147"/>
      <c r="F42" s="300"/>
      <c r="G42" s="300"/>
      <c r="H42" s="383" t="str">
        <f>IF(T42=TRUE,"",SUM(H39:H41))</f>
        <v/>
      </c>
      <c r="I42" s="300"/>
      <c r="J42" s="7"/>
      <c r="K42" s="342"/>
      <c r="L42" s="426">
        <f>IF($T$42=TRUE,L$11*R45*D13*Anzahl,SUM(L$39:L$41))</f>
        <v>0</v>
      </c>
      <c r="M42" s="428"/>
      <c r="N42" s="427">
        <f>IF($T$42=TRUE,N$11*R45*D13*Anzahl,SUM(N$39:N$41))</f>
        <v>0</v>
      </c>
      <c r="O42" s="428"/>
      <c r="P42" s="427">
        <f>IF($T$42=TRUE,P$11*R45*D13*Anzahl,SUM(P$39:P$41))</f>
        <v>0</v>
      </c>
      <c r="Q42" s="428"/>
      <c r="R42" s="429">
        <f>IF($T$42=TRUE,R$11*R45*D13*Anzahl,SUM(R$39:R$41))</f>
        <v>0</v>
      </c>
      <c r="S42" s="241"/>
      <c r="T42" s="442" t="b">
        <v>1</v>
      </c>
      <c r="U42" s="7"/>
      <c r="V42" s="7"/>
      <c r="W42" s="7"/>
      <c r="X42" s="7"/>
      <c r="Y42" s="7"/>
      <c r="Z42" s="7"/>
      <c r="AA42" s="7"/>
      <c r="AB42" s="7"/>
      <c r="AC42" s="7"/>
      <c r="AD42" s="7"/>
      <c r="AE42" s="7"/>
      <c r="AF42" s="7"/>
      <c r="AG42" s="7"/>
      <c r="AH42" s="7"/>
      <c r="AI42" s="7"/>
      <c r="AJ42" s="7"/>
      <c r="AK42" s="7"/>
      <c r="AL42" s="7"/>
      <c r="AM42" s="7"/>
      <c r="AN42" s="7"/>
    </row>
    <row r="43" spans="1:40" s="340" customFormat="1" ht="18.75" customHeight="1">
      <c r="A43" s="336"/>
      <c r="B43" s="348"/>
      <c r="C43" s="349" t="s">
        <v>410</v>
      </c>
      <c r="D43" s="349"/>
      <c r="E43" s="349"/>
      <c r="F43" s="349"/>
      <c r="G43" s="349"/>
      <c r="H43" s="349"/>
      <c r="I43" s="349"/>
      <c r="J43" s="336"/>
      <c r="K43" s="350" t="s">
        <v>354</v>
      </c>
      <c r="L43" s="385"/>
      <c r="M43" s="349"/>
      <c r="N43" s="349"/>
      <c r="O43" s="349"/>
      <c r="P43" s="349"/>
      <c r="Q43" s="349"/>
      <c r="R43" s="349"/>
      <c r="S43" s="349"/>
      <c r="T43" s="10"/>
      <c r="U43" s="7"/>
      <c r="V43" s="336"/>
      <c r="W43" s="336"/>
      <c r="X43" s="336"/>
      <c r="Y43" s="336"/>
      <c r="Z43" s="336"/>
      <c r="AA43" s="336"/>
      <c r="AB43" s="336"/>
      <c r="AC43" s="336"/>
      <c r="AD43" s="336"/>
      <c r="AE43" s="336"/>
      <c r="AF43" s="336"/>
      <c r="AG43" s="336"/>
      <c r="AH43" s="336"/>
      <c r="AI43" s="336"/>
      <c r="AJ43" s="336"/>
      <c r="AK43" s="336"/>
      <c r="AL43" s="336"/>
      <c r="AM43" s="336"/>
      <c r="AN43" s="336"/>
    </row>
    <row r="44" spans="1:40" s="6" customFormat="1" ht="14.25" customHeight="1">
      <c r="A44" s="7"/>
      <c r="B44" s="11"/>
      <c r="C44" s="10" t="s">
        <v>411</v>
      </c>
      <c r="D44" s="267" t="s">
        <v>417</v>
      </c>
      <c r="E44" s="10"/>
      <c r="F44" s="10" t="s">
        <v>233</v>
      </c>
      <c r="G44" s="10" t="s">
        <v>234</v>
      </c>
      <c r="H44" s="10"/>
      <c r="I44" s="10"/>
      <c r="J44" s="7"/>
      <c r="K44" s="304"/>
      <c r="L44" s="243"/>
      <c r="M44" s="304"/>
      <c r="N44" s="304"/>
      <c r="O44" s="304"/>
      <c r="P44" s="304"/>
      <c r="Q44" s="304"/>
      <c r="R44" s="304"/>
      <c r="S44" s="304"/>
      <c r="T44" s="304"/>
      <c r="U44" s="336"/>
      <c r="V44" s="7"/>
      <c r="W44" s="7"/>
      <c r="X44" s="7"/>
      <c r="Y44" s="7"/>
      <c r="Z44" s="7"/>
      <c r="AA44" s="7"/>
      <c r="AB44" s="7"/>
      <c r="AC44" s="7"/>
      <c r="AD44" s="7"/>
      <c r="AE44" s="7"/>
      <c r="AF44" s="7"/>
      <c r="AG44" s="7"/>
      <c r="AH44" s="7"/>
      <c r="AI44" s="7"/>
      <c r="AJ44" s="7"/>
      <c r="AK44" s="7"/>
      <c r="AL44" s="7"/>
      <c r="AM44" s="7"/>
      <c r="AN44" s="7"/>
    </row>
    <row r="45" spans="1:40" s="6" customFormat="1" ht="18" customHeight="1">
      <c r="A45" s="7"/>
      <c r="B45" s="11"/>
      <c r="C45" s="267"/>
      <c r="D45" s="295"/>
      <c r="E45" s="10"/>
      <c r="F45" s="351"/>
      <c r="G45" s="351"/>
      <c r="H45" s="10"/>
      <c r="I45" s="10"/>
      <c r="J45" s="7"/>
      <c r="K45" s="304"/>
      <c r="L45" s="386" t="s">
        <v>353</v>
      </c>
      <c r="M45" s="304">
        <f>IF(T45=TRUE,DefMatEffS,IF(OR(Produkt_1!MatEffG&lt;GWUMatEff,Produkt_1!MatEffG&gt;GWOMatEff),DefMatEff,Produkt_1!MatEffG))</f>
        <v>0.8</v>
      </c>
      <c r="N45" s="304"/>
      <c r="O45" s="304" t="s">
        <v>233</v>
      </c>
      <c r="P45" s="344">
        <f>IF(T45=TRUE,DefEnStromS,IF(OR(Produkt_1!EnStromG&lt;GWUEnStrom,Produkt_1!EnStromG&gt;GWOEnStrom),DefEnStrom,Produkt_1!EnStromG))</f>
        <v>0.8</v>
      </c>
      <c r="Q45" s="304" t="s">
        <v>234</v>
      </c>
      <c r="R45" s="432">
        <f>IF(T45=TRUE,DefEnWaermeS,IF(OR(Produkt_1!EnWaermeG&lt;GWUEnWaerme,Produkt_1!EnWaermeG&gt;GWOEnWaerme),DefEnWaerme,Produkt_1!EnWaermeG))</f>
        <v>1.4</v>
      </c>
      <c r="S45" s="304"/>
      <c r="T45" s="443" t="b">
        <v>1</v>
      </c>
      <c r="U45" s="7"/>
      <c r="V45" s="7"/>
      <c r="W45" s="7"/>
      <c r="X45" s="7"/>
      <c r="Y45" s="7"/>
      <c r="Z45" s="7"/>
      <c r="AA45" s="7"/>
      <c r="AB45" s="7"/>
      <c r="AC45" s="7"/>
      <c r="AD45" s="7"/>
      <c r="AE45" s="7"/>
      <c r="AF45" s="7"/>
      <c r="AG45" s="7"/>
      <c r="AH45" s="7"/>
      <c r="AI45" s="7"/>
      <c r="AJ45" s="7"/>
      <c r="AK45" s="7"/>
      <c r="AL45" s="7"/>
      <c r="AM45" s="7"/>
      <c r="AN45" s="7"/>
    </row>
    <row r="46" spans="1:40" s="6" customFormat="1" ht="56.25" customHeight="1">
      <c r="A46" s="7"/>
      <c r="B46" s="11"/>
      <c r="C46" s="267"/>
      <c r="D46" s="470" t="str">
        <f>IF($T$45=TRUE,"Übernahme Werte aus Blatt Start",IF(OR($D$45&lt;GWUMatEff,$D$45&gt;GWOMatEff),DeklMatEffNotOK,DeklAnteilOK))</f>
        <v>Übernahme Werte aus Blatt Start</v>
      </c>
      <c r="E46" s="470"/>
      <c r="F46" s="353" t="str">
        <f>IF($T$45=TRUE,"Übernahme Werte aus Blatt Start",IF(OR($F$45&lt;GWUEnStrom,$F$45&gt;GWOEnStrom),DeklEnEinsatzNotOK,DeklAnteilOK))</f>
        <v>Übernahme Werte aus Blatt Start</v>
      </c>
      <c r="G46" s="353" t="str">
        <f>IF($T$45=TRUE,"Übernahme Werte aus Blatt Start",IF(OR($G$45&lt;GWUEnWaerme,$G$45&gt;GWOEnWaerme),DeklEnEinsatzNotOK,DeklAnteilOK))</f>
        <v>Übernahme Werte aus Blatt Start</v>
      </c>
      <c r="H46" s="11"/>
      <c r="I46" s="10"/>
      <c r="J46" s="7"/>
      <c r="K46" s="304"/>
      <c r="L46" s="386"/>
      <c r="M46" s="304"/>
      <c r="N46" s="304"/>
      <c r="O46" s="304"/>
      <c r="P46" s="304"/>
      <c r="Q46" s="304"/>
      <c r="R46" s="304"/>
      <c r="S46" s="304"/>
      <c r="T46" s="304"/>
      <c r="U46" s="7"/>
      <c r="V46" s="7"/>
      <c r="W46" s="7"/>
      <c r="X46" s="7"/>
      <c r="Y46" s="7"/>
      <c r="Z46" s="7"/>
      <c r="AA46" s="7"/>
      <c r="AB46" s="7"/>
      <c r="AC46" s="7"/>
      <c r="AD46" s="7"/>
      <c r="AE46" s="7"/>
      <c r="AF46" s="7"/>
      <c r="AG46" s="7"/>
      <c r="AH46" s="7"/>
      <c r="AI46" s="7"/>
      <c r="AJ46" s="7"/>
      <c r="AK46" s="7"/>
      <c r="AL46" s="7"/>
      <c r="AM46" s="7"/>
      <c r="AN46" s="7"/>
    </row>
    <row r="47" spans="1:40" s="6" customFormat="1" ht="15.75" customHeight="1">
      <c r="A47" s="7"/>
      <c r="B47" s="11"/>
      <c r="C47" s="267"/>
      <c r="D47" s="470" t="str">
        <f>IF(OR(D46=DeklAnteilOK,$T$45=TRUE),"","Eingesetzter Wert: "&amp;DefMatEff*100&amp;" %")</f>
        <v/>
      </c>
      <c r="E47" s="470"/>
      <c r="F47" s="353" t="str">
        <f>IF(F46=DeklEnEinsatzNotOK,"Eingesetzter Wert: "&amp;DefEnStrom&amp;" kWh/kg","")</f>
        <v/>
      </c>
      <c r="G47" s="353" t="str">
        <f>IF(G46=DeklEnEinsatzNotOK,"Eingesetzter Wert: "&amp;DefEnWaerme&amp;" kWh/kg","")</f>
        <v/>
      </c>
      <c r="H47" s="11"/>
      <c r="I47" s="10"/>
      <c r="J47" s="7"/>
      <c r="K47" s="304"/>
      <c r="L47" s="305"/>
      <c r="M47" s="304"/>
      <c r="N47" s="304"/>
      <c r="O47" s="304"/>
      <c r="P47" s="304"/>
      <c r="Q47" s="304"/>
      <c r="R47" s="304"/>
      <c r="S47" s="304"/>
      <c r="T47" s="304"/>
      <c r="U47" s="7"/>
      <c r="V47" s="7"/>
      <c r="W47" s="7"/>
      <c r="X47" s="7"/>
      <c r="Y47" s="7"/>
      <c r="Z47" s="7"/>
      <c r="AA47" s="7"/>
      <c r="AB47" s="7"/>
      <c r="AC47" s="7"/>
      <c r="AD47" s="7"/>
      <c r="AE47" s="7"/>
      <c r="AF47" s="7"/>
      <c r="AG47" s="7"/>
      <c r="AH47" s="7"/>
      <c r="AI47" s="7"/>
      <c r="AJ47" s="7"/>
      <c r="AK47" s="7"/>
      <c r="AL47" s="7"/>
      <c r="AM47" s="7"/>
      <c r="AN47" s="7"/>
    </row>
    <row r="48" spans="1:40" s="341" customFormat="1" ht="4.5" customHeight="1">
      <c r="B48" s="299"/>
      <c r="C48" s="303"/>
      <c r="D48" s="377"/>
      <c r="E48" s="377"/>
      <c r="F48" s="377"/>
      <c r="G48" s="377"/>
      <c r="H48" s="299"/>
      <c r="K48" s="378"/>
      <c r="L48" s="378"/>
      <c r="M48" s="378"/>
      <c r="N48" s="378"/>
      <c r="O48" s="378"/>
      <c r="P48" s="378"/>
      <c r="Q48" s="378"/>
      <c r="R48" s="378"/>
      <c r="S48" s="378"/>
      <c r="T48" s="378"/>
      <c r="U48" s="7"/>
    </row>
    <row r="49" spans="1:40" s="6" customFormat="1" ht="9.75" customHeight="1">
      <c r="A49" s="7"/>
      <c r="B49" s="151"/>
      <c r="C49" s="151"/>
      <c r="D49" s="151"/>
      <c r="E49" s="151"/>
      <c r="F49" s="151"/>
      <c r="G49" s="151"/>
      <c r="H49" s="151"/>
      <c r="I49" s="151"/>
      <c r="J49" s="7"/>
      <c r="K49" s="358"/>
      <c r="L49" s="359"/>
      <c r="M49" s="341"/>
      <c r="N49" s="341"/>
      <c r="O49" s="341"/>
      <c r="P49" s="360"/>
      <c r="Q49" s="341"/>
      <c r="R49" s="361"/>
      <c r="S49" s="358"/>
      <c r="T49" s="358"/>
      <c r="U49" s="341"/>
      <c r="V49" s="7"/>
      <c r="W49" s="7"/>
      <c r="X49" s="7"/>
      <c r="Y49" s="7"/>
      <c r="Z49" s="7"/>
      <c r="AA49" s="7"/>
      <c r="AB49" s="7"/>
      <c r="AC49" s="7"/>
      <c r="AD49" s="7"/>
      <c r="AE49" s="7"/>
      <c r="AF49" s="7"/>
      <c r="AG49" s="7"/>
      <c r="AH49" s="7"/>
      <c r="AI49" s="7"/>
      <c r="AJ49" s="7"/>
      <c r="AK49" s="7"/>
      <c r="AL49" s="7"/>
      <c r="AM49" s="7"/>
      <c r="AN49" s="7"/>
    </row>
    <row r="50" spans="1:40" s="6" customFormat="1" ht="28.5" customHeight="1">
      <c r="A50" s="7"/>
      <c r="B50" s="151"/>
      <c r="C50" s="152" t="s">
        <v>357</v>
      </c>
      <c r="D50" s="153" t="s">
        <v>331</v>
      </c>
      <c r="E50" s="153" t="s">
        <v>333</v>
      </c>
      <c r="F50" s="153" t="s">
        <v>332</v>
      </c>
      <c r="G50" s="153" t="s">
        <v>137</v>
      </c>
      <c r="H50" s="153" t="s">
        <v>267</v>
      </c>
      <c r="I50" s="151"/>
      <c r="J50" s="7"/>
      <c r="K50" s="304" t="s">
        <v>175</v>
      </c>
      <c r="L50" s="436">
        <f>SUM(L16:L27,M16:M27,L33,L38,L42)</f>
        <v>0</v>
      </c>
      <c r="M50" s="304"/>
      <c r="N50" s="438">
        <f>SUM(N16:N27,O16:O27,N33,N38,N42)</f>
        <v>0</v>
      </c>
      <c r="O50" s="304"/>
      <c r="P50" s="438">
        <f>SUM(P16:P27,Q16:Q27,P33,P38,P42)</f>
        <v>0</v>
      </c>
      <c r="Q50" s="304"/>
      <c r="R50" s="437">
        <f>SUM(R16:R27,S16:S27,R33,R38,R42)</f>
        <v>0</v>
      </c>
      <c r="S50" s="304"/>
      <c r="T50" s="437">
        <f>SUM(T16:T27)</f>
        <v>0</v>
      </c>
      <c r="U50" s="7"/>
      <c r="V50" s="7"/>
      <c r="W50" s="7"/>
      <c r="X50" s="7"/>
      <c r="Y50" s="7"/>
      <c r="Z50" s="7"/>
      <c r="AA50" s="7"/>
      <c r="AB50" s="7"/>
      <c r="AC50" s="7"/>
      <c r="AD50" s="7"/>
      <c r="AE50" s="7"/>
      <c r="AF50" s="7"/>
      <c r="AG50" s="7"/>
      <c r="AH50" s="7"/>
      <c r="AI50" s="7"/>
      <c r="AJ50" s="7"/>
      <c r="AK50" s="7"/>
      <c r="AL50" s="7"/>
      <c r="AM50" s="7"/>
      <c r="AN50" s="7"/>
    </row>
    <row r="51" spans="1:40" s="6" customFormat="1" ht="19.5">
      <c r="A51" s="7"/>
      <c r="B51" s="151"/>
      <c r="C51" s="154"/>
      <c r="D51" s="155" t="s">
        <v>16</v>
      </c>
      <c r="E51" s="155" t="s">
        <v>154</v>
      </c>
      <c r="F51" s="155" t="s">
        <v>154</v>
      </c>
      <c r="G51" s="155" t="s">
        <v>240</v>
      </c>
      <c r="H51" s="155" t="s">
        <v>258</v>
      </c>
      <c r="I51" s="151"/>
      <c r="J51" s="7"/>
      <c r="K51" s="358"/>
      <c r="L51" s="359"/>
      <c r="M51" s="341"/>
      <c r="N51" s="341"/>
      <c r="O51" s="341"/>
      <c r="P51" s="360"/>
      <c r="Q51" s="341"/>
      <c r="R51" s="361"/>
      <c r="S51" s="358"/>
      <c r="T51" s="358"/>
      <c r="U51" s="7"/>
      <c r="V51" s="7"/>
      <c r="W51" s="7"/>
      <c r="X51" s="7"/>
      <c r="Y51" s="7"/>
      <c r="Z51" s="7"/>
      <c r="AA51" s="7"/>
      <c r="AB51" s="7"/>
      <c r="AC51" s="7"/>
      <c r="AD51" s="7"/>
      <c r="AE51" s="7"/>
      <c r="AF51" s="7"/>
      <c r="AG51" s="7"/>
      <c r="AH51" s="7"/>
      <c r="AI51" s="7"/>
      <c r="AJ51" s="7"/>
      <c r="AK51" s="7"/>
      <c r="AL51" s="7"/>
      <c r="AM51" s="7"/>
      <c r="AN51" s="7"/>
    </row>
    <row r="52" spans="1:40" s="6" customFormat="1">
      <c r="A52" s="7"/>
      <c r="B52" s="151"/>
      <c r="C52" s="156" t="s">
        <v>236</v>
      </c>
      <c r="D52" s="157">
        <f>IFERROR(SUM(L$16:L$27),0)</f>
        <v>0</v>
      </c>
      <c r="E52" s="158">
        <f>IFERROR(SUM(N$16:N$27),0)</f>
        <v>0</v>
      </c>
      <c r="F52" s="158">
        <f>IFERROR(SUM(P$16:P$27),0)</f>
        <v>0</v>
      </c>
      <c r="G52" s="159">
        <f>IFERROR(SUM(R$16:R$27),0)</f>
        <v>0</v>
      </c>
      <c r="H52" s="159">
        <f>IFERROR(SUM(T$16:T$27),0)</f>
        <v>0</v>
      </c>
      <c r="I52" s="160"/>
      <c r="J52" s="7"/>
      <c r="K52" s="362"/>
      <c r="L52" s="363"/>
      <c r="M52" s="364"/>
      <c r="N52" s="364"/>
      <c r="O52" s="364"/>
      <c r="P52" s="364"/>
      <c r="Q52" s="364"/>
      <c r="R52" s="364"/>
      <c r="S52" s="364"/>
      <c r="T52" s="364"/>
      <c r="U52" s="7"/>
      <c r="V52" s="7"/>
      <c r="W52" s="7"/>
      <c r="X52" s="7"/>
      <c r="Y52" s="7"/>
      <c r="Z52" s="7"/>
      <c r="AA52" s="7"/>
      <c r="AB52" s="7"/>
      <c r="AC52" s="7"/>
      <c r="AD52" s="7"/>
      <c r="AE52" s="7"/>
      <c r="AF52" s="7"/>
      <c r="AG52" s="7"/>
      <c r="AH52" s="7"/>
      <c r="AI52" s="7"/>
      <c r="AJ52" s="7"/>
      <c r="AK52" s="7"/>
      <c r="AL52" s="7"/>
      <c r="AM52" s="7"/>
      <c r="AN52" s="7"/>
    </row>
    <row r="53" spans="1:40" s="6" customFormat="1">
      <c r="A53" s="7"/>
      <c r="B53" s="151"/>
      <c r="C53" s="156" t="s">
        <v>237</v>
      </c>
      <c r="D53" s="157">
        <f>IFERROR(SUM(M$16:M$27),0)</f>
        <v>0</v>
      </c>
      <c r="E53" s="158">
        <f>IFERROR(SUM(O$16:O$27),0)</f>
        <v>0</v>
      </c>
      <c r="F53" s="158">
        <f>IFERROR(SUM(Q$16:Q$27),0)</f>
        <v>0</v>
      </c>
      <c r="G53" s="159">
        <f>IFERROR(SUM(S$16:S$27),0)</f>
        <v>0</v>
      </c>
      <c r="H53" s="161"/>
      <c r="I53" s="162"/>
      <c r="J53" s="7"/>
      <c r="K53" s="365"/>
      <c r="L53" s="366"/>
      <c r="M53" s="358"/>
      <c r="N53" s="358"/>
      <c r="O53" s="358"/>
      <c r="P53" s="360"/>
      <c r="Q53" s="341"/>
      <c r="R53" s="361"/>
      <c r="S53" s="358"/>
      <c r="T53" s="358"/>
      <c r="U53" s="7"/>
      <c r="V53" s="7"/>
      <c r="W53" s="7"/>
      <c r="X53" s="7"/>
      <c r="Y53" s="7"/>
      <c r="Z53" s="7"/>
      <c r="AA53" s="7"/>
      <c r="AB53" s="7"/>
      <c r="AC53" s="7"/>
      <c r="AD53" s="7"/>
      <c r="AE53" s="7"/>
      <c r="AF53" s="7"/>
      <c r="AG53" s="7"/>
      <c r="AH53" s="7"/>
      <c r="AI53" s="7"/>
      <c r="AJ53" s="7"/>
      <c r="AK53" s="7"/>
      <c r="AL53" s="7"/>
      <c r="AM53" s="7"/>
      <c r="AN53" s="7"/>
    </row>
    <row r="54" spans="1:40" s="6" customFormat="1">
      <c r="A54" s="7"/>
      <c r="B54" s="151"/>
      <c r="C54" s="163" t="s">
        <v>238</v>
      </c>
      <c r="D54" s="164">
        <f>IFERROR(SUM(L38,L42),0)</f>
        <v>0</v>
      </c>
      <c r="E54" s="165">
        <f>IFERROR(SUM(N38,N42),0)</f>
        <v>0</v>
      </c>
      <c r="F54" s="158">
        <f>IFERROR(SUM(P38,P42),0)</f>
        <v>0</v>
      </c>
      <c r="G54" s="159">
        <f>IFERROR(SUM(R38,R42),0)</f>
        <v>0</v>
      </c>
      <c r="H54" s="161"/>
      <c r="I54" s="162"/>
      <c r="J54" s="7"/>
      <c r="K54" s="365"/>
      <c r="L54" s="367"/>
      <c r="M54" s="358"/>
      <c r="N54" s="358"/>
      <c r="O54" s="358"/>
      <c r="P54" s="360"/>
      <c r="Q54" s="341"/>
      <c r="R54" s="361"/>
      <c r="S54" s="358"/>
      <c r="T54" s="358"/>
      <c r="U54" s="7"/>
      <c r="V54" s="7"/>
      <c r="W54" s="7"/>
      <c r="X54" s="7"/>
      <c r="Y54" s="7"/>
      <c r="Z54" s="7"/>
      <c r="AA54" s="7"/>
      <c r="AB54" s="7"/>
      <c r="AC54" s="7"/>
      <c r="AD54" s="7"/>
      <c r="AE54" s="7"/>
      <c r="AF54" s="7"/>
      <c r="AG54" s="7"/>
      <c r="AH54" s="7"/>
      <c r="AI54" s="7"/>
      <c r="AJ54" s="7"/>
      <c r="AK54" s="7"/>
      <c r="AL54" s="7"/>
      <c r="AM54" s="7"/>
      <c r="AN54" s="7"/>
    </row>
    <row r="55" spans="1:40" s="6" customFormat="1">
      <c r="A55" s="7"/>
      <c r="B55" s="151"/>
      <c r="C55" s="163" t="s">
        <v>60</v>
      </c>
      <c r="D55" s="164">
        <f>IFERROR(L33,0)</f>
        <v>0</v>
      </c>
      <c r="E55" s="165">
        <f>IFERROR(N33,0)</f>
        <v>0</v>
      </c>
      <c r="F55" s="165">
        <f>IFERROR(P33,0)</f>
        <v>0</v>
      </c>
      <c r="G55" s="166">
        <f>IFERROR(R33,0)</f>
        <v>0</v>
      </c>
      <c r="H55" s="161"/>
      <c r="I55" s="162"/>
      <c r="J55" s="7"/>
      <c r="K55" s="368"/>
      <c r="L55" s="367"/>
      <c r="M55" s="358"/>
      <c r="N55" s="358"/>
      <c r="O55" s="358"/>
      <c r="P55" s="360"/>
      <c r="Q55" s="341"/>
      <c r="R55" s="361"/>
      <c r="S55" s="358"/>
      <c r="T55" s="358"/>
      <c r="U55" s="7"/>
      <c r="V55" s="7"/>
      <c r="W55" s="7"/>
      <c r="X55" s="7"/>
      <c r="Y55" s="7"/>
      <c r="Z55" s="7"/>
      <c r="AA55" s="7"/>
      <c r="AB55" s="7"/>
      <c r="AC55" s="7"/>
      <c r="AD55" s="7"/>
      <c r="AE55" s="7"/>
      <c r="AF55" s="7"/>
      <c r="AG55" s="7"/>
      <c r="AH55" s="7"/>
      <c r="AI55" s="7"/>
      <c r="AJ55" s="7"/>
      <c r="AK55" s="7"/>
      <c r="AL55" s="7"/>
      <c r="AM55" s="7"/>
      <c r="AN55" s="7"/>
    </row>
    <row r="56" spans="1:40" s="6" customFormat="1" ht="15" customHeight="1">
      <c r="A56" s="7"/>
      <c r="B56" s="151"/>
      <c r="C56" s="167" t="s">
        <v>1</v>
      </c>
      <c r="D56" s="168">
        <f>SUM(D52:D55)</f>
        <v>0</v>
      </c>
      <c r="E56" s="169">
        <f>SUM(E52:E55)</f>
        <v>0</v>
      </c>
      <c r="F56" s="169">
        <f t="shared" ref="F56:H56" si="13">SUM(F52:F55)</f>
        <v>0</v>
      </c>
      <c r="G56" s="170">
        <f t="shared" si="13"/>
        <v>0</v>
      </c>
      <c r="H56" s="170">
        <f t="shared" si="13"/>
        <v>0</v>
      </c>
      <c r="I56" s="160"/>
      <c r="J56" s="7"/>
      <c r="K56" s="365"/>
      <c r="L56" s="366"/>
      <c r="M56" s="341"/>
      <c r="N56" s="341"/>
      <c r="O56" s="341"/>
      <c r="P56" s="341"/>
      <c r="Q56" s="341"/>
      <c r="R56" s="341"/>
      <c r="S56" s="341"/>
      <c r="T56" s="341"/>
      <c r="U56" s="7"/>
      <c r="V56" s="7"/>
      <c r="W56" s="7"/>
      <c r="X56" s="7"/>
      <c r="Y56" s="7"/>
      <c r="Z56" s="7"/>
      <c r="AA56" s="7"/>
      <c r="AB56" s="7"/>
      <c r="AC56" s="7"/>
      <c r="AD56" s="7"/>
      <c r="AE56" s="7"/>
      <c r="AF56" s="7"/>
      <c r="AG56" s="7"/>
      <c r="AH56" s="7"/>
      <c r="AI56" s="7"/>
      <c r="AJ56" s="7"/>
      <c r="AK56" s="7"/>
      <c r="AL56" s="7"/>
      <c r="AM56" s="7"/>
      <c r="AN56" s="7"/>
    </row>
    <row r="57" spans="1:40" s="6" customFormat="1">
      <c r="A57" s="7"/>
      <c r="B57" s="151"/>
      <c r="C57" s="151"/>
      <c r="D57" s="151"/>
      <c r="E57" s="151"/>
      <c r="F57" s="151"/>
      <c r="G57" s="151"/>
      <c r="H57" s="151"/>
      <c r="I57" s="151"/>
      <c r="J57" s="7"/>
      <c r="K57" s="365"/>
      <c r="L57" s="366"/>
      <c r="M57" s="341"/>
      <c r="N57" s="341"/>
      <c r="O57" s="341"/>
      <c r="P57" s="341"/>
      <c r="Q57" s="341"/>
      <c r="R57" s="341"/>
      <c r="S57" s="341"/>
      <c r="T57" s="341"/>
      <c r="U57" s="7"/>
      <c r="V57" s="7"/>
      <c r="W57" s="7"/>
      <c r="X57" s="7"/>
      <c r="Y57" s="7"/>
      <c r="Z57" s="7"/>
      <c r="AA57" s="7"/>
      <c r="AB57" s="7"/>
      <c r="AC57" s="7"/>
      <c r="AD57" s="7"/>
      <c r="AE57" s="7"/>
      <c r="AF57" s="7"/>
      <c r="AG57" s="7"/>
      <c r="AH57" s="7"/>
      <c r="AI57" s="7"/>
      <c r="AJ57" s="7"/>
      <c r="AK57" s="7"/>
      <c r="AL57" s="7"/>
      <c r="AM57" s="7"/>
      <c r="AN57" s="7"/>
    </row>
    <row r="58" spans="1:40" s="6" customForma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row>
    <row r="59" spans="1:40">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row>
    <row r="60" spans="1:40">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row>
    <row r="61" spans="1:40">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row>
    <row r="62" spans="1:40">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row>
    <row r="63" spans="1:40">
      <c r="A63" s="7"/>
      <c r="B63" s="7"/>
      <c r="C63" s="7"/>
      <c r="D63" s="7"/>
      <c r="E63" s="7"/>
      <c r="F63" s="7"/>
      <c r="G63" s="7"/>
      <c r="H63" s="7"/>
      <c r="I63" s="1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row>
    <row r="64" spans="1:40">
      <c r="A64" s="7"/>
      <c r="B64" s="7"/>
      <c r="C64" s="15"/>
      <c r="D64" s="15"/>
      <c r="E64" s="15"/>
      <c r="F64" s="15"/>
      <c r="G64" s="15"/>
      <c r="H64" s="15"/>
      <c r="I64" s="7"/>
      <c r="J64" s="7"/>
      <c r="K64" s="7"/>
      <c r="U64" s="7"/>
      <c r="V64" s="7"/>
      <c r="W64" s="7"/>
      <c r="X64" s="7"/>
      <c r="Y64" s="7"/>
      <c r="Z64" s="7"/>
      <c r="AA64" s="7"/>
      <c r="AB64" s="7"/>
      <c r="AC64" s="7"/>
      <c r="AD64" s="7"/>
      <c r="AE64" s="7"/>
      <c r="AF64" s="7"/>
      <c r="AG64" s="7"/>
      <c r="AH64" s="7"/>
      <c r="AI64" s="7"/>
      <c r="AJ64" s="7"/>
      <c r="AK64" s="7"/>
      <c r="AL64" s="7"/>
      <c r="AM64" s="7"/>
      <c r="AN64" s="7"/>
    </row>
    <row r="65" spans="1:40">
      <c r="A65" s="7"/>
      <c r="B65" s="8"/>
      <c r="C65" s="7"/>
      <c r="D65" s="7"/>
      <c r="E65" s="7"/>
      <c r="F65" s="7"/>
      <c r="G65" s="7"/>
      <c r="H65" s="7"/>
      <c r="I65" s="7"/>
      <c r="J65" s="7"/>
      <c r="K65" s="7"/>
      <c r="U65" s="7"/>
      <c r="V65" s="7"/>
      <c r="W65" s="7"/>
      <c r="X65" s="7"/>
      <c r="Y65" s="7"/>
      <c r="Z65" s="7"/>
      <c r="AA65" s="7"/>
      <c r="AB65" s="7"/>
      <c r="AC65" s="7"/>
      <c r="AD65" s="7"/>
      <c r="AE65" s="7"/>
      <c r="AF65" s="7"/>
      <c r="AG65" s="7"/>
      <c r="AH65" s="7"/>
      <c r="AI65" s="7"/>
      <c r="AJ65" s="7"/>
      <c r="AK65" s="7"/>
      <c r="AL65" s="7"/>
      <c r="AM65" s="7"/>
      <c r="AN65" s="7"/>
    </row>
    <row r="66" spans="1:40">
      <c r="A66" s="7"/>
      <c r="B66" s="7"/>
      <c r="C66" s="7"/>
      <c r="D66" s="7"/>
      <c r="E66" s="7"/>
      <c r="F66" s="7"/>
      <c r="G66" s="7"/>
      <c r="H66" s="7"/>
      <c r="I66" s="7"/>
      <c r="J66" s="7"/>
      <c r="K66" s="7"/>
      <c r="U66" s="7"/>
      <c r="V66" s="7"/>
      <c r="W66" s="7"/>
      <c r="X66" s="7"/>
      <c r="Y66" s="7"/>
      <c r="Z66" s="7"/>
      <c r="AA66" s="7"/>
      <c r="AB66" s="7"/>
      <c r="AC66" s="7"/>
      <c r="AD66" s="7"/>
      <c r="AE66" s="7"/>
      <c r="AF66" s="7"/>
      <c r="AG66" s="7"/>
      <c r="AH66" s="7"/>
      <c r="AI66" s="7"/>
      <c r="AJ66" s="7"/>
      <c r="AK66" s="7"/>
      <c r="AL66" s="7"/>
      <c r="AM66" s="7"/>
      <c r="AN66" s="7"/>
    </row>
    <row r="67" spans="1:40">
      <c r="A67" s="7"/>
      <c r="B67" s="8"/>
      <c r="C67" s="7"/>
      <c r="D67" s="7"/>
      <c r="E67" s="7"/>
      <c r="F67" s="7"/>
      <c r="G67" s="7"/>
      <c r="H67" s="7"/>
      <c r="I67" s="7"/>
      <c r="J67" s="7"/>
      <c r="K67" s="7"/>
      <c r="U67" s="7"/>
      <c r="V67" s="7"/>
      <c r="W67" s="7"/>
      <c r="X67" s="7"/>
      <c r="Y67" s="7"/>
      <c r="Z67" s="7"/>
      <c r="AA67" s="7"/>
      <c r="AB67" s="7"/>
      <c r="AC67" s="7"/>
      <c r="AD67" s="7"/>
      <c r="AE67" s="7"/>
      <c r="AF67" s="7"/>
      <c r="AG67" s="7"/>
      <c r="AH67" s="7"/>
      <c r="AI67" s="7"/>
      <c r="AJ67" s="7"/>
      <c r="AK67" s="7"/>
      <c r="AL67" s="7"/>
      <c r="AM67" s="7"/>
      <c r="AN67" s="7"/>
    </row>
    <row r="68" spans="1:40">
      <c r="A68" s="7"/>
      <c r="B68" s="7"/>
      <c r="C68" s="7"/>
      <c r="D68" s="7"/>
      <c r="E68" s="7"/>
      <c r="F68" s="7"/>
      <c r="G68" s="7"/>
      <c r="H68" s="7"/>
      <c r="I68" s="7"/>
      <c r="J68" s="7"/>
      <c r="K68" s="7"/>
      <c r="U68" s="7"/>
      <c r="V68" s="7"/>
      <c r="W68" s="7"/>
      <c r="X68" s="7"/>
      <c r="Y68" s="7"/>
      <c r="Z68" s="7"/>
      <c r="AA68" s="7"/>
      <c r="AB68" s="7"/>
      <c r="AC68" s="7"/>
      <c r="AD68" s="7"/>
      <c r="AE68" s="7"/>
      <c r="AF68" s="7"/>
      <c r="AG68" s="7"/>
      <c r="AH68" s="7"/>
      <c r="AI68" s="7"/>
      <c r="AJ68" s="7"/>
      <c r="AK68" s="7"/>
      <c r="AL68" s="7"/>
      <c r="AM68" s="7"/>
      <c r="AN68" s="7"/>
    </row>
    <row r="69" spans="1:40">
      <c r="A69" s="7"/>
      <c r="B69" s="7"/>
      <c r="C69" s="7"/>
      <c r="D69" s="7"/>
      <c r="E69" s="7"/>
      <c r="F69" s="7"/>
      <c r="G69" s="7"/>
      <c r="H69" s="7"/>
      <c r="I69" s="7"/>
      <c r="J69" s="7"/>
      <c r="K69" s="7"/>
      <c r="U69" s="7"/>
      <c r="V69" s="7"/>
      <c r="W69" s="7"/>
      <c r="X69" s="7"/>
      <c r="Y69" s="7"/>
      <c r="Z69" s="7"/>
      <c r="AA69" s="7"/>
      <c r="AB69" s="7"/>
      <c r="AC69" s="7"/>
      <c r="AD69" s="7"/>
      <c r="AE69" s="7"/>
      <c r="AF69" s="7"/>
      <c r="AG69" s="7"/>
      <c r="AH69" s="7"/>
      <c r="AI69" s="7"/>
      <c r="AJ69" s="7"/>
      <c r="AK69" s="7"/>
      <c r="AL69" s="7"/>
      <c r="AM69" s="7"/>
      <c r="AN69" s="7"/>
    </row>
    <row r="70" spans="1:40">
      <c r="A70" s="7"/>
      <c r="B70" s="7"/>
      <c r="C70" s="7"/>
      <c r="D70" s="7"/>
      <c r="E70" s="7"/>
      <c r="F70" s="7"/>
      <c r="G70" s="7"/>
      <c r="H70" s="7"/>
      <c r="I70" s="7"/>
      <c r="J70" s="7"/>
      <c r="K70" s="7"/>
      <c r="U70" s="7"/>
      <c r="V70" s="7"/>
      <c r="W70" s="7"/>
      <c r="X70" s="7"/>
      <c r="Y70" s="7"/>
      <c r="Z70" s="7"/>
      <c r="AA70" s="7"/>
      <c r="AB70" s="7"/>
      <c r="AC70" s="7"/>
      <c r="AD70" s="7"/>
      <c r="AE70" s="7"/>
      <c r="AF70" s="7"/>
      <c r="AG70" s="7"/>
      <c r="AH70" s="7"/>
      <c r="AI70" s="7"/>
      <c r="AJ70" s="7"/>
      <c r="AK70" s="7"/>
      <c r="AL70" s="7"/>
      <c r="AM70" s="7"/>
      <c r="AN70" s="7"/>
    </row>
    <row r="71" spans="1:40">
      <c r="A71" s="7"/>
      <c r="B71" s="7"/>
      <c r="C71" s="7"/>
      <c r="D71" s="7"/>
      <c r="E71" s="7"/>
      <c r="F71" s="7"/>
      <c r="G71" s="7"/>
      <c r="H71" s="7"/>
      <c r="I71" s="7"/>
      <c r="J71" s="7"/>
      <c r="K71" s="7"/>
      <c r="U71" s="7"/>
      <c r="V71" s="7"/>
      <c r="W71" s="7"/>
      <c r="X71" s="7"/>
      <c r="Y71" s="7"/>
      <c r="Z71" s="7"/>
      <c r="AA71" s="7"/>
      <c r="AB71" s="7"/>
      <c r="AC71" s="7"/>
      <c r="AD71" s="7"/>
      <c r="AE71" s="7"/>
      <c r="AF71" s="7"/>
      <c r="AG71" s="7"/>
      <c r="AH71" s="7"/>
      <c r="AI71" s="7"/>
      <c r="AJ71" s="7"/>
      <c r="AK71" s="7"/>
      <c r="AL71" s="7"/>
      <c r="AM71" s="7"/>
      <c r="AN71" s="7"/>
    </row>
    <row r="72" spans="1:40">
      <c r="A72" s="7"/>
      <c r="B72" s="7"/>
      <c r="C72" s="7"/>
      <c r="D72" s="7"/>
      <c r="E72" s="7"/>
      <c r="F72" s="7"/>
      <c r="G72" s="7"/>
      <c r="H72" s="7"/>
      <c r="I72" s="7"/>
      <c r="J72" s="7"/>
      <c r="K72" s="7"/>
      <c r="U72" s="7"/>
      <c r="V72" s="7"/>
      <c r="W72" s="7"/>
      <c r="X72" s="7"/>
      <c r="Y72" s="7"/>
      <c r="Z72" s="7"/>
      <c r="AA72" s="7"/>
      <c r="AB72" s="7"/>
      <c r="AC72" s="7"/>
      <c r="AD72" s="7"/>
      <c r="AE72" s="7"/>
      <c r="AF72" s="7"/>
      <c r="AG72" s="7"/>
      <c r="AH72" s="7"/>
      <c r="AI72" s="7"/>
      <c r="AJ72" s="7"/>
      <c r="AK72" s="7"/>
      <c r="AL72" s="7"/>
      <c r="AM72" s="7"/>
      <c r="AN72" s="7"/>
    </row>
    <row r="73" spans="1:40">
      <c r="A73" s="7"/>
      <c r="B73" s="7"/>
      <c r="C73" s="7"/>
      <c r="D73" s="7"/>
      <c r="E73" s="7"/>
      <c r="F73" s="7"/>
      <c r="G73" s="7"/>
      <c r="H73" s="7"/>
      <c r="I73" s="7"/>
      <c r="J73" s="7"/>
      <c r="K73" s="7"/>
      <c r="U73" s="7"/>
      <c r="V73" s="7"/>
      <c r="W73" s="7"/>
      <c r="X73" s="7"/>
      <c r="Y73" s="7"/>
      <c r="Z73" s="7"/>
      <c r="AA73" s="7"/>
      <c r="AB73" s="7"/>
      <c r="AC73" s="7"/>
      <c r="AD73" s="7"/>
      <c r="AE73" s="7"/>
      <c r="AF73" s="7"/>
      <c r="AG73" s="7"/>
      <c r="AH73" s="7"/>
      <c r="AI73" s="7"/>
      <c r="AJ73" s="7"/>
      <c r="AK73" s="7"/>
      <c r="AL73" s="7"/>
      <c r="AM73" s="7"/>
      <c r="AN73" s="7"/>
    </row>
    <row r="74" spans="1:40">
      <c r="A74" s="7"/>
      <c r="B74" s="7"/>
      <c r="C74" s="7"/>
      <c r="D74" s="7"/>
      <c r="E74" s="7"/>
      <c r="F74" s="7"/>
      <c r="G74" s="7"/>
      <c r="H74" s="7"/>
      <c r="I74" s="7"/>
      <c r="J74" s="7"/>
      <c r="K74" s="7"/>
      <c r="U74" s="7"/>
      <c r="V74" s="7"/>
      <c r="W74" s="7"/>
      <c r="X74" s="7"/>
      <c r="Y74" s="7"/>
      <c r="Z74" s="7"/>
      <c r="AA74" s="7"/>
      <c r="AB74" s="7"/>
      <c r="AC74" s="7"/>
      <c r="AD74" s="7"/>
      <c r="AE74" s="7"/>
      <c r="AF74" s="7"/>
      <c r="AG74" s="7"/>
      <c r="AH74" s="7"/>
      <c r="AI74" s="7"/>
      <c r="AJ74" s="7"/>
      <c r="AK74" s="7"/>
      <c r="AL74" s="7"/>
      <c r="AM74" s="7"/>
      <c r="AN74" s="7"/>
    </row>
    <row r="75" spans="1:40">
      <c r="A75" s="7"/>
      <c r="B75" s="7"/>
      <c r="C75" s="7"/>
      <c r="D75" s="7"/>
      <c r="E75" s="7"/>
      <c r="F75" s="7"/>
      <c r="G75" s="7"/>
      <c r="H75" s="7"/>
      <c r="I75" s="7"/>
      <c r="J75" s="7"/>
      <c r="K75" s="7"/>
      <c r="U75" s="7"/>
      <c r="V75" s="7"/>
      <c r="W75" s="7"/>
      <c r="X75" s="7"/>
      <c r="Y75" s="7"/>
      <c r="Z75" s="7"/>
      <c r="AA75" s="7"/>
      <c r="AB75" s="7"/>
      <c r="AC75" s="7"/>
      <c r="AD75" s="7"/>
      <c r="AE75" s="7"/>
      <c r="AF75" s="7"/>
      <c r="AG75" s="7"/>
      <c r="AH75" s="7"/>
      <c r="AI75" s="7"/>
      <c r="AJ75" s="7"/>
      <c r="AK75" s="7"/>
      <c r="AL75" s="7"/>
      <c r="AM75" s="7"/>
      <c r="AN75" s="7"/>
    </row>
    <row r="76" spans="1:40">
      <c r="A76" s="7"/>
      <c r="B76" s="7"/>
      <c r="C76" s="7"/>
      <c r="D76" s="7"/>
      <c r="E76" s="7"/>
      <c r="F76" s="7"/>
      <c r="G76" s="7"/>
      <c r="H76" s="7"/>
      <c r="I76" s="7"/>
      <c r="J76" s="7"/>
      <c r="K76" s="7"/>
      <c r="U76" s="7"/>
      <c r="V76" s="7"/>
      <c r="W76" s="7"/>
      <c r="X76" s="7"/>
      <c r="Y76" s="7"/>
      <c r="Z76" s="7"/>
      <c r="AA76" s="7"/>
      <c r="AB76" s="7"/>
      <c r="AC76" s="7"/>
      <c r="AD76" s="7"/>
      <c r="AE76" s="7"/>
      <c r="AF76" s="7"/>
      <c r="AG76" s="7"/>
      <c r="AH76" s="7"/>
      <c r="AI76" s="7"/>
      <c r="AJ76" s="7"/>
      <c r="AK76" s="7"/>
      <c r="AL76" s="7"/>
      <c r="AM76" s="7"/>
      <c r="AN76" s="7"/>
    </row>
    <row r="77" spans="1:40">
      <c r="A77" s="7"/>
      <c r="B77" s="7"/>
      <c r="C77" s="7"/>
      <c r="D77" s="7"/>
      <c r="E77" s="7"/>
      <c r="F77" s="7"/>
      <c r="G77" s="7"/>
      <c r="H77" s="7"/>
      <c r="I77" s="7"/>
      <c r="J77" s="7"/>
      <c r="K77" s="7"/>
      <c r="U77" s="7"/>
      <c r="V77" s="7"/>
      <c r="W77" s="7"/>
      <c r="X77" s="7"/>
      <c r="Y77" s="7"/>
      <c r="Z77" s="7"/>
      <c r="AA77" s="7"/>
      <c r="AB77" s="7"/>
      <c r="AC77" s="7"/>
      <c r="AD77" s="7"/>
      <c r="AE77" s="7"/>
      <c r="AF77" s="7"/>
      <c r="AG77" s="7"/>
      <c r="AH77" s="7"/>
      <c r="AI77" s="7"/>
      <c r="AJ77" s="7"/>
      <c r="AK77" s="7"/>
      <c r="AL77" s="7"/>
      <c r="AM77" s="7"/>
      <c r="AN77" s="7"/>
    </row>
    <row r="78" spans="1:40" ht="15.75" customHeight="1">
      <c r="A78" s="7"/>
      <c r="B78" s="7"/>
      <c r="C78" s="7"/>
      <c r="D78" s="7"/>
      <c r="E78" s="7"/>
      <c r="F78" s="7"/>
      <c r="G78" s="7"/>
      <c r="H78" s="7"/>
      <c r="I78" s="7"/>
      <c r="J78" s="7"/>
      <c r="K78" s="7"/>
      <c r="U78" s="7"/>
      <c r="V78" s="7"/>
      <c r="W78" s="7"/>
      <c r="X78" s="7"/>
      <c r="Y78" s="7"/>
      <c r="Z78" s="7"/>
      <c r="AA78" s="7"/>
      <c r="AB78" s="7"/>
      <c r="AC78" s="7"/>
      <c r="AD78" s="7"/>
      <c r="AE78" s="7"/>
      <c r="AF78" s="7"/>
      <c r="AG78" s="7"/>
      <c r="AH78" s="7"/>
      <c r="AI78" s="7"/>
      <c r="AJ78" s="7"/>
      <c r="AK78" s="7"/>
      <c r="AL78" s="7"/>
      <c r="AM78" s="7"/>
      <c r="AN78" s="7"/>
    </row>
    <row r="79" spans="1:40">
      <c r="A79" s="7"/>
      <c r="B79" s="7"/>
      <c r="C79" s="7"/>
      <c r="D79" s="7"/>
      <c r="E79" s="7"/>
      <c r="F79" s="7"/>
      <c r="G79" s="7"/>
      <c r="H79" s="7"/>
      <c r="I79" s="7"/>
      <c r="J79" s="7"/>
      <c r="K79" s="7"/>
      <c r="U79" s="7"/>
      <c r="V79" s="7"/>
      <c r="W79" s="7"/>
      <c r="X79" s="7"/>
      <c r="Y79" s="7"/>
      <c r="Z79" s="7"/>
      <c r="AA79" s="7"/>
      <c r="AB79" s="7"/>
      <c r="AC79" s="7"/>
      <c r="AD79" s="7"/>
      <c r="AE79" s="7"/>
      <c r="AF79" s="7"/>
      <c r="AG79" s="7"/>
      <c r="AH79" s="7"/>
      <c r="AI79" s="7"/>
      <c r="AJ79" s="7"/>
      <c r="AK79" s="7"/>
      <c r="AL79" s="7"/>
      <c r="AM79" s="7"/>
      <c r="AN79" s="7"/>
    </row>
    <row r="80" spans="1:40">
      <c r="A80" s="7"/>
      <c r="B80" s="7"/>
      <c r="C80" s="7"/>
      <c r="D80" s="7"/>
      <c r="E80" s="7"/>
      <c r="F80" s="7"/>
      <c r="G80" s="7"/>
      <c r="H80" s="7"/>
      <c r="I80" s="7"/>
      <c r="J80" s="7"/>
      <c r="K80" s="7"/>
      <c r="U80" s="7"/>
      <c r="V80" s="7"/>
      <c r="W80" s="7"/>
      <c r="X80" s="7"/>
      <c r="Y80" s="7"/>
      <c r="Z80" s="7"/>
      <c r="AA80" s="7"/>
      <c r="AB80" s="7"/>
      <c r="AC80" s="7"/>
      <c r="AD80" s="7"/>
      <c r="AE80" s="7"/>
      <c r="AF80" s="7"/>
      <c r="AG80" s="7"/>
      <c r="AH80" s="7"/>
      <c r="AI80" s="7"/>
      <c r="AJ80" s="7"/>
      <c r="AK80" s="7"/>
      <c r="AL80" s="7"/>
      <c r="AM80" s="7"/>
      <c r="AN80" s="7"/>
    </row>
    <row r="81" spans="1:40">
      <c r="A81" s="7"/>
      <c r="B81" s="7"/>
      <c r="C81" s="7"/>
      <c r="D81" s="7"/>
      <c r="E81" s="7"/>
      <c r="F81" s="7"/>
      <c r="G81" s="7"/>
      <c r="H81" s="7"/>
      <c r="I81" s="7"/>
      <c r="J81" s="7"/>
      <c r="K81" s="7"/>
      <c r="U81" s="7"/>
      <c r="V81" s="7"/>
      <c r="W81" s="7"/>
      <c r="X81" s="7"/>
      <c r="Y81" s="7"/>
      <c r="Z81" s="7"/>
      <c r="AA81" s="7"/>
      <c r="AB81" s="7"/>
      <c r="AC81" s="7"/>
      <c r="AD81" s="7"/>
      <c r="AE81" s="7"/>
      <c r="AF81" s="7"/>
      <c r="AG81" s="7"/>
      <c r="AH81" s="7"/>
      <c r="AI81" s="7"/>
      <c r="AJ81" s="7"/>
      <c r="AK81" s="7"/>
      <c r="AL81" s="7"/>
      <c r="AM81" s="7"/>
      <c r="AN81" s="7"/>
    </row>
    <row r="82" spans="1:40">
      <c r="A82" s="7"/>
      <c r="B82" s="7"/>
      <c r="C82" s="7"/>
      <c r="D82" s="7"/>
      <c r="E82" s="7"/>
      <c r="F82" s="7"/>
      <c r="G82" s="7"/>
      <c r="H82" s="7"/>
      <c r="I82" s="7"/>
      <c r="J82" s="7"/>
      <c r="K82" s="7"/>
      <c r="U82" s="7"/>
      <c r="V82" s="7"/>
      <c r="W82" s="7"/>
      <c r="X82" s="7"/>
      <c r="Y82" s="7"/>
      <c r="Z82" s="7"/>
      <c r="AA82" s="7"/>
      <c r="AB82" s="7"/>
      <c r="AC82" s="7"/>
      <c r="AD82" s="7"/>
      <c r="AE82" s="7"/>
      <c r="AF82" s="7"/>
      <c r="AG82" s="7"/>
      <c r="AH82" s="7"/>
      <c r="AI82" s="7"/>
      <c r="AJ82" s="7"/>
      <c r="AK82" s="7"/>
      <c r="AL82" s="7"/>
      <c r="AM82" s="7"/>
      <c r="AN82" s="7"/>
    </row>
    <row r="83" spans="1:40">
      <c r="A83" s="7"/>
      <c r="B83" s="7"/>
      <c r="C83" s="7"/>
      <c r="D83" s="7"/>
      <c r="E83" s="7"/>
      <c r="F83" s="7"/>
      <c r="G83" s="7"/>
      <c r="H83" s="7"/>
      <c r="I83" s="7"/>
      <c r="J83" s="7"/>
      <c r="K83" s="7"/>
      <c r="U83" s="7"/>
      <c r="V83" s="7"/>
      <c r="W83" s="7"/>
      <c r="X83" s="7"/>
      <c r="Y83" s="7"/>
      <c r="Z83" s="7"/>
      <c r="AA83" s="7"/>
      <c r="AB83" s="7"/>
      <c r="AC83" s="7"/>
      <c r="AD83" s="7"/>
      <c r="AE83" s="7"/>
      <c r="AF83" s="7"/>
      <c r="AG83" s="7"/>
      <c r="AH83" s="7"/>
      <c r="AI83" s="7"/>
      <c r="AJ83" s="7"/>
      <c r="AK83" s="7"/>
      <c r="AL83" s="7"/>
      <c r="AM83" s="7"/>
      <c r="AN83" s="7"/>
    </row>
    <row r="84" spans="1:40">
      <c r="A84" s="7"/>
      <c r="B84" s="7"/>
      <c r="C84" s="7"/>
      <c r="D84" s="7"/>
      <c r="E84" s="7"/>
      <c r="F84" s="7"/>
      <c r="G84" s="7"/>
      <c r="H84" s="7"/>
      <c r="I84" s="7"/>
      <c r="J84" s="7"/>
      <c r="K84" s="7"/>
      <c r="U84" s="7"/>
      <c r="V84" s="7"/>
      <c r="W84" s="7"/>
      <c r="X84" s="7"/>
      <c r="Y84" s="7"/>
      <c r="Z84" s="7"/>
      <c r="AA84" s="7"/>
      <c r="AB84" s="7"/>
      <c r="AC84" s="7"/>
      <c r="AD84" s="7"/>
      <c r="AE84" s="7"/>
      <c r="AF84" s="7"/>
      <c r="AG84" s="7"/>
      <c r="AH84" s="7"/>
      <c r="AI84" s="7"/>
      <c r="AJ84" s="7"/>
      <c r="AK84" s="7"/>
      <c r="AL84" s="7"/>
      <c r="AM84" s="7"/>
      <c r="AN84" s="7"/>
    </row>
    <row r="85" spans="1:40">
      <c r="A85" s="7"/>
      <c r="B85" s="7"/>
      <c r="C85" s="7"/>
      <c r="D85" s="7"/>
      <c r="E85" s="7"/>
      <c r="F85" s="7"/>
      <c r="G85" s="7"/>
      <c r="H85" s="7"/>
      <c r="I85" s="7"/>
      <c r="J85" s="7"/>
      <c r="K85" s="7"/>
      <c r="U85" s="7"/>
      <c r="V85" s="7"/>
      <c r="W85" s="7"/>
      <c r="X85" s="7"/>
      <c r="Y85" s="7"/>
      <c r="Z85" s="7"/>
      <c r="AA85" s="7"/>
      <c r="AB85" s="7"/>
      <c r="AC85" s="7"/>
      <c r="AD85" s="7"/>
      <c r="AE85" s="7"/>
      <c r="AF85" s="7"/>
      <c r="AG85" s="7"/>
      <c r="AH85" s="7"/>
      <c r="AI85" s="7"/>
      <c r="AJ85" s="7"/>
      <c r="AK85" s="7"/>
      <c r="AL85" s="7"/>
      <c r="AM85" s="7"/>
      <c r="AN85" s="7"/>
    </row>
    <row r="86" spans="1:40">
      <c r="A86" s="7"/>
      <c r="B86" s="7"/>
      <c r="C86" s="7"/>
      <c r="D86" s="7"/>
      <c r="E86" s="7"/>
      <c r="F86" s="7"/>
      <c r="G86" s="7"/>
      <c r="H86" s="7"/>
      <c r="I86" s="7"/>
      <c r="J86" s="7"/>
      <c r="K86" s="7"/>
      <c r="U86" s="7"/>
      <c r="V86" s="7"/>
      <c r="W86" s="7"/>
      <c r="X86" s="7"/>
      <c r="Y86" s="7"/>
      <c r="Z86" s="7"/>
      <c r="AA86" s="7"/>
      <c r="AB86" s="7"/>
      <c r="AC86" s="7"/>
      <c r="AD86" s="7"/>
      <c r="AE86" s="7"/>
      <c r="AF86" s="7"/>
      <c r="AG86" s="7"/>
      <c r="AH86" s="7"/>
      <c r="AI86" s="7"/>
      <c r="AJ86" s="7"/>
      <c r="AK86" s="7"/>
      <c r="AL86" s="7"/>
      <c r="AM86" s="7"/>
      <c r="AN86" s="7"/>
    </row>
    <row r="87" spans="1:40">
      <c r="A87" s="7"/>
      <c r="B87" s="7"/>
      <c r="C87" s="7"/>
      <c r="D87" s="7"/>
      <c r="E87" s="7"/>
      <c r="F87" s="7"/>
      <c r="G87" s="7"/>
      <c r="H87" s="7"/>
      <c r="I87" s="7"/>
      <c r="J87" s="7"/>
      <c r="K87" s="7"/>
      <c r="U87" s="7"/>
      <c r="V87" s="7"/>
      <c r="W87" s="7"/>
      <c r="X87" s="7"/>
      <c r="Y87" s="7"/>
      <c r="Z87" s="7"/>
      <c r="AA87" s="7"/>
      <c r="AB87" s="7"/>
      <c r="AC87" s="7"/>
      <c r="AD87" s="7"/>
      <c r="AE87" s="7"/>
      <c r="AF87" s="7"/>
      <c r="AG87" s="7"/>
      <c r="AH87" s="7"/>
      <c r="AI87" s="7"/>
      <c r="AJ87" s="7"/>
      <c r="AK87" s="7"/>
      <c r="AL87" s="7"/>
      <c r="AM87" s="7"/>
      <c r="AN87" s="7"/>
    </row>
    <row r="88" spans="1:40">
      <c r="A88" s="7"/>
      <c r="B88" s="7"/>
      <c r="C88" s="7"/>
      <c r="D88" s="7"/>
      <c r="E88" s="7"/>
      <c r="F88" s="7"/>
      <c r="G88" s="7"/>
      <c r="H88" s="7"/>
      <c r="I88" s="7"/>
      <c r="J88" s="7"/>
      <c r="K88" s="7"/>
      <c r="U88" s="7"/>
      <c r="V88" s="7"/>
      <c r="W88" s="7"/>
      <c r="X88" s="7"/>
      <c r="Y88" s="7"/>
      <c r="Z88" s="7"/>
      <c r="AA88" s="7"/>
      <c r="AB88" s="7"/>
      <c r="AC88" s="7"/>
      <c r="AD88" s="7"/>
      <c r="AE88" s="7"/>
      <c r="AF88" s="7"/>
      <c r="AG88" s="7"/>
      <c r="AH88" s="7"/>
      <c r="AI88" s="7"/>
      <c r="AJ88" s="7"/>
      <c r="AK88" s="7"/>
      <c r="AL88" s="7"/>
      <c r="AM88" s="7"/>
      <c r="AN88" s="7"/>
    </row>
    <row r="89" spans="1:40">
      <c r="A89" s="7"/>
      <c r="B89" s="7"/>
      <c r="C89" s="7"/>
      <c r="D89" s="7"/>
      <c r="E89" s="7"/>
      <c r="F89" s="7"/>
      <c r="G89" s="7"/>
      <c r="H89" s="7"/>
      <c r="I89" s="7"/>
      <c r="J89" s="7"/>
      <c r="K89" s="7"/>
      <c r="U89" s="7"/>
      <c r="V89" s="7"/>
      <c r="W89" s="7"/>
      <c r="X89" s="7"/>
      <c r="Y89" s="7"/>
      <c r="Z89" s="7"/>
      <c r="AA89" s="7"/>
      <c r="AB89" s="7"/>
      <c r="AC89" s="7"/>
      <c r="AD89" s="7"/>
      <c r="AE89" s="7"/>
      <c r="AF89" s="7"/>
      <c r="AG89" s="7"/>
      <c r="AH89" s="7"/>
      <c r="AI89" s="7"/>
      <c r="AJ89" s="7"/>
      <c r="AK89" s="7"/>
      <c r="AL89" s="7"/>
      <c r="AM89" s="7"/>
      <c r="AN89" s="7"/>
    </row>
    <row r="90" spans="1:40">
      <c r="A90" s="7"/>
      <c r="B90" s="7"/>
      <c r="C90" s="7"/>
      <c r="D90" s="7"/>
      <c r="E90" s="7"/>
      <c r="F90" s="7"/>
      <c r="G90" s="7"/>
      <c r="H90" s="7"/>
      <c r="I90" s="7"/>
      <c r="J90" s="7"/>
      <c r="K90" s="7"/>
      <c r="U90" s="7"/>
      <c r="V90" s="7"/>
      <c r="W90" s="7"/>
      <c r="X90" s="7"/>
      <c r="Y90" s="7"/>
      <c r="Z90" s="7"/>
      <c r="AA90" s="7"/>
      <c r="AB90" s="7"/>
      <c r="AC90" s="7"/>
      <c r="AD90" s="7"/>
      <c r="AE90" s="7"/>
      <c r="AF90" s="7"/>
      <c r="AG90" s="7"/>
      <c r="AH90" s="7"/>
      <c r="AI90" s="7"/>
      <c r="AJ90" s="7"/>
      <c r="AK90" s="7"/>
      <c r="AL90" s="7"/>
      <c r="AM90" s="7"/>
      <c r="AN90" s="7"/>
    </row>
    <row r="91" spans="1:40">
      <c r="A91" s="7"/>
      <c r="B91" s="7"/>
      <c r="C91" s="7"/>
      <c r="D91" s="7"/>
      <c r="E91" s="7"/>
      <c r="F91" s="7"/>
      <c r="G91" s="7"/>
      <c r="H91" s="7"/>
      <c r="I91" s="7"/>
      <c r="J91" s="7"/>
      <c r="K91" s="7"/>
      <c r="U91" s="7"/>
      <c r="V91" s="7"/>
      <c r="W91" s="7"/>
      <c r="X91" s="7"/>
      <c r="Y91" s="7"/>
      <c r="Z91" s="7"/>
      <c r="AA91" s="7"/>
      <c r="AB91" s="7"/>
      <c r="AC91" s="7"/>
      <c r="AD91" s="7"/>
      <c r="AE91" s="7"/>
      <c r="AF91" s="7"/>
      <c r="AG91" s="7"/>
      <c r="AH91" s="7"/>
      <c r="AI91" s="7"/>
      <c r="AJ91" s="7"/>
      <c r="AK91" s="7"/>
      <c r="AL91" s="7"/>
      <c r="AM91" s="7"/>
      <c r="AN91" s="7"/>
    </row>
    <row r="92" spans="1:40">
      <c r="A92" s="7"/>
      <c r="B92" s="7"/>
      <c r="C92" s="7"/>
      <c r="D92" s="7"/>
      <c r="E92" s="7"/>
      <c r="F92" s="7"/>
      <c r="G92" s="7"/>
      <c r="H92" s="7"/>
      <c r="I92" s="7"/>
      <c r="J92" s="7"/>
      <c r="K92" s="7"/>
      <c r="U92" s="7"/>
      <c r="V92" s="7"/>
      <c r="W92" s="7"/>
      <c r="X92" s="7"/>
      <c r="Y92" s="7"/>
      <c r="Z92" s="7"/>
      <c r="AA92" s="7"/>
      <c r="AB92" s="7"/>
      <c r="AC92" s="7"/>
      <c r="AD92" s="7"/>
      <c r="AE92" s="7"/>
      <c r="AF92" s="7"/>
      <c r="AG92" s="7"/>
      <c r="AH92" s="7"/>
      <c r="AI92" s="7"/>
      <c r="AJ92" s="7"/>
      <c r="AK92" s="7"/>
      <c r="AL92" s="7"/>
      <c r="AM92" s="7"/>
      <c r="AN92" s="7"/>
    </row>
    <row r="93" spans="1:40">
      <c r="A93" s="7"/>
      <c r="B93" s="7"/>
      <c r="C93" s="7"/>
      <c r="D93" s="7"/>
      <c r="E93" s="7"/>
      <c r="F93" s="7"/>
      <c r="G93" s="7"/>
      <c r="H93" s="7"/>
      <c r="I93" s="7"/>
      <c r="J93" s="7"/>
      <c r="K93" s="7"/>
      <c r="U93" s="7"/>
      <c r="V93" s="7"/>
      <c r="W93" s="7"/>
      <c r="X93" s="7"/>
      <c r="Y93" s="7"/>
      <c r="Z93" s="7"/>
      <c r="AA93" s="7"/>
      <c r="AB93" s="7"/>
      <c r="AC93" s="7"/>
      <c r="AD93" s="7"/>
      <c r="AE93" s="7"/>
      <c r="AF93" s="7"/>
      <c r="AG93" s="7"/>
      <c r="AH93" s="7"/>
      <c r="AI93" s="7"/>
      <c r="AJ93" s="7"/>
      <c r="AK93" s="7"/>
      <c r="AL93" s="7"/>
      <c r="AM93" s="7"/>
      <c r="AN93" s="7"/>
    </row>
    <row r="94" spans="1:40">
      <c r="A94" s="7"/>
      <c r="B94" s="7"/>
      <c r="C94" s="7"/>
      <c r="D94" s="7"/>
      <c r="E94" s="7"/>
      <c r="F94" s="7"/>
      <c r="G94" s="7"/>
      <c r="H94" s="7"/>
      <c r="I94" s="7"/>
      <c r="J94" s="7"/>
      <c r="K94" s="7"/>
      <c r="U94" s="7"/>
      <c r="V94" s="7"/>
      <c r="W94" s="7"/>
      <c r="X94" s="7"/>
      <c r="Y94" s="7"/>
      <c r="Z94" s="7"/>
      <c r="AA94" s="7"/>
      <c r="AB94" s="7"/>
      <c r="AC94" s="7"/>
      <c r="AD94" s="7"/>
      <c r="AE94" s="7"/>
      <c r="AF94" s="7"/>
      <c r="AG94" s="7"/>
      <c r="AH94" s="7"/>
      <c r="AI94" s="7"/>
      <c r="AJ94" s="7"/>
      <c r="AK94" s="7"/>
      <c r="AL94" s="7"/>
      <c r="AM94" s="7"/>
      <c r="AN94" s="7"/>
    </row>
    <row r="95" spans="1:40">
      <c r="A95" s="7"/>
      <c r="B95" s="7"/>
      <c r="C95" s="7"/>
      <c r="D95" s="7"/>
      <c r="E95" s="7"/>
      <c r="F95" s="7"/>
      <c r="G95" s="7"/>
      <c r="H95" s="7"/>
      <c r="I95" s="7"/>
      <c r="J95" s="7"/>
      <c r="K95" s="7"/>
      <c r="U95" s="7"/>
      <c r="V95" s="7"/>
      <c r="W95" s="7"/>
      <c r="X95" s="7"/>
      <c r="Y95" s="7"/>
      <c r="Z95" s="7"/>
      <c r="AA95" s="7"/>
      <c r="AB95" s="7"/>
      <c r="AC95" s="7"/>
      <c r="AD95" s="7"/>
      <c r="AE95" s="7"/>
      <c r="AF95" s="7"/>
      <c r="AG95" s="7"/>
      <c r="AH95" s="7"/>
      <c r="AI95" s="7"/>
      <c r="AJ95" s="7"/>
      <c r="AK95" s="7"/>
      <c r="AL95" s="7"/>
      <c r="AM95" s="7"/>
      <c r="AN95" s="7"/>
    </row>
    <row r="96" spans="1:40">
      <c r="A96" s="7"/>
      <c r="B96" s="7"/>
      <c r="C96" s="7"/>
      <c r="D96" s="7"/>
      <c r="E96" s="7"/>
      <c r="F96" s="7"/>
      <c r="G96" s="7"/>
      <c r="H96" s="7"/>
      <c r="I96" s="7"/>
      <c r="K96" s="7"/>
      <c r="U96" s="7"/>
      <c r="V96" s="7"/>
      <c r="W96" s="7"/>
      <c r="X96" s="7"/>
      <c r="Y96" s="7"/>
      <c r="Z96" s="7"/>
      <c r="AA96" s="7"/>
      <c r="AB96" s="7"/>
      <c r="AC96" s="7"/>
      <c r="AD96" s="7"/>
      <c r="AE96" s="7"/>
      <c r="AF96" s="7"/>
      <c r="AG96" s="7"/>
      <c r="AH96" s="7"/>
      <c r="AI96" s="7"/>
      <c r="AJ96" s="7"/>
      <c r="AK96" s="7"/>
      <c r="AL96" s="7"/>
      <c r="AM96" s="7"/>
      <c r="AN96" s="7"/>
    </row>
    <row r="97" spans="21:40">
      <c r="U97" s="7"/>
      <c r="V97" s="7"/>
      <c r="W97" s="7"/>
      <c r="X97" s="7"/>
      <c r="Y97" s="7"/>
      <c r="Z97" s="7"/>
      <c r="AA97" s="7"/>
      <c r="AB97" s="7"/>
      <c r="AC97" s="7"/>
      <c r="AD97" s="7"/>
      <c r="AE97" s="7"/>
      <c r="AF97" s="7"/>
      <c r="AG97" s="7"/>
      <c r="AH97" s="7"/>
      <c r="AI97" s="7"/>
      <c r="AJ97" s="7"/>
      <c r="AK97" s="7"/>
      <c r="AL97" s="7"/>
      <c r="AM97" s="7"/>
      <c r="AN97" s="7"/>
    </row>
    <row r="98" spans="21:40">
      <c r="U98" s="7"/>
      <c r="AA98" s="7"/>
      <c r="AB98" s="7"/>
      <c r="AC98" s="7"/>
      <c r="AD98" s="7"/>
      <c r="AE98" s="7"/>
      <c r="AF98" s="7"/>
      <c r="AG98" s="7"/>
      <c r="AH98" s="7"/>
      <c r="AI98" s="7"/>
      <c r="AJ98" s="7"/>
      <c r="AK98" s="7"/>
      <c r="AL98" s="7"/>
      <c r="AM98" s="7"/>
      <c r="AN98" s="7"/>
    </row>
  </sheetData>
  <sheetProtection algorithmName="SHA-512" hashValue="gc7jd7EhP27dcKYsQjMhD7YhmdoGO3NsUiKAZOyiatW4SDz9gdg/dUCT5+1Wl+la3HdRPxkJfvKvzyBBzFLtTQ==" saltValue="UXAhRxqOu6UejtEC93kl9A==" spinCount="100000" sheet="1" objects="1" scenarios="1" selectLockedCells="1"/>
  <mergeCells count="36">
    <mergeCell ref="L8:S8"/>
    <mergeCell ref="D9:H9"/>
    <mergeCell ref="F41:G41"/>
    <mergeCell ref="F31:G31"/>
    <mergeCell ref="F32:G32"/>
    <mergeCell ref="D11:H11"/>
    <mergeCell ref="F30:G30"/>
    <mergeCell ref="D16:E16"/>
    <mergeCell ref="F35:G35"/>
    <mergeCell ref="F36:G36"/>
    <mergeCell ref="F37:G37"/>
    <mergeCell ref="F39:G39"/>
    <mergeCell ref="F40:G40"/>
    <mergeCell ref="D30:E30"/>
    <mergeCell ref="D17:E17"/>
    <mergeCell ref="D18:E18"/>
    <mergeCell ref="D19:E19"/>
    <mergeCell ref="D20:E20"/>
    <mergeCell ref="D21:E21"/>
    <mergeCell ref="D22:E22"/>
    <mergeCell ref="D40:E40"/>
    <mergeCell ref="D41:E41"/>
    <mergeCell ref="D46:E46"/>
    <mergeCell ref="H6:I6"/>
    <mergeCell ref="D47:E47"/>
    <mergeCell ref="D31:E31"/>
    <mergeCell ref="D32:E32"/>
    <mergeCell ref="D35:E35"/>
    <mergeCell ref="D36:E36"/>
    <mergeCell ref="D37:E37"/>
    <mergeCell ref="D39:E39"/>
    <mergeCell ref="D23:E23"/>
    <mergeCell ref="D24:E24"/>
    <mergeCell ref="D25:E25"/>
    <mergeCell ref="D26:E26"/>
    <mergeCell ref="D27:E27"/>
  </mergeCells>
  <conditionalFormatting sqref="D28:E28 E29">
    <cfRule type="expression" dxfId="96" priority="22">
      <formula>D$28=DeklGewichtOK</formula>
    </cfRule>
  </conditionalFormatting>
  <conditionalFormatting sqref="G13:I13">
    <cfRule type="expression" dxfId="95" priority="21">
      <formula>AnzAusblenden=TRUE</formula>
    </cfRule>
  </conditionalFormatting>
  <conditionalFormatting sqref="H38 H42:H48">
    <cfRule type="expression" dxfId="94" priority="18">
      <formula>AND(H38&lt;=1.01,H38&gt;=0.99)</formula>
    </cfRule>
  </conditionalFormatting>
  <conditionalFormatting sqref="D38:E38">
    <cfRule type="expression" dxfId="93" priority="15">
      <formula>D$38=DeklAnteilNotOK</formula>
    </cfRule>
  </conditionalFormatting>
  <conditionalFormatting sqref="I52:I55">
    <cfRule type="dataBar" priority="214">
      <dataBar>
        <cfvo type="min"/>
        <cfvo type="max"/>
        <color rgb="FF63C384"/>
      </dataBar>
      <extLst>
        <ext xmlns:x14="http://schemas.microsoft.com/office/spreadsheetml/2009/9/main" uri="{B025F937-C7B1-47D3-B67F-A62EFF666E3E}">
          <x14:id>{115CC039-7ACC-46DB-BD3F-909F0674786A}</x14:id>
        </ext>
      </extLst>
    </cfRule>
  </conditionalFormatting>
  <conditionalFormatting sqref="I56">
    <cfRule type="dataBar" priority="215">
      <dataBar>
        <cfvo type="min"/>
        <cfvo type="max"/>
        <color rgb="FF63C384"/>
      </dataBar>
      <extLst>
        <ext xmlns:x14="http://schemas.microsoft.com/office/spreadsheetml/2009/9/main" uri="{B025F937-C7B1-47D3-B67F-A62EFF666E3E}">
          <x14:id>{998E2B52-B78F-4114-AF10-E847E9079B09}</x14:id>
        </ext>
      </extLst>
    </cfRule>
  </conditionalFormatting>
  <conditionalFormatting sqref="D42">
    <cfRule type="expression" dxfId="92" priority="5">
      <formula>D$42=DeklAnteilNotOK</formula>
    </cfRule>
  </conditionalFormatting>
  <conditionalFormatting sqref="D46 D47">
    <cfRule type="expression" dxfId="91" priority="4">
      <formula>D$46=DeklMatEffNotOK</formula>
    </cfRule>
  </conditionalFormatting>
  <conditionalFormatting sqref="F46:G48">
    <cfRule type="expression" dxfId="90" priority="3">
      <formula>F$46=DeklEnEinsatzNotOK</formula>
    </cfRule>
  </conditionalFormatting>
  <conditionalFormatting sqref="D35:H37">
    <cfRule type="expression" dxfId="89" priority="229">
      <formula>$T$38=TRUE</formula>
    </cfRule>
  </conditionalFormatting>
  <conditionalFormatting sqref="D39:H41">
    <cfRule type="expression" dxfId="88" priority="230">
      <formula>$T$42=TRUE</formula>
    </cfRule>
  </conditionalFormatting>
  <conditionalFormatting sqref="D45 F45:G45">
    <cfRule type="expression" dxfId="87" priority="231">
      <formula>$T$45=TRUE</formula>
    </cfRule>
  </conditionalFormatting>
  <conditionalFormatting sqref="D30:H32">
    <cfRule type="expression" dxfId="86" priority="232">
      <formula>$T$33=TRUE</formula>
    </cfRule>
  </conditionalFormatting>
  <conditionalFormatting sqref="D47">
    <cfRule type="expression" dxfId="85" priority="1">
      <formula>D$46=DeklEnEinsatzNotOK</formula>
    </cfRule>
  </conditionalFormatting>
  <dataValidations count="20">
    <dataValidation type="decimal" allowBlank="1" showInputMessage="1" showErrorMessage="1" errorTitle="Fehler" error="Sie müssen Werte zwischen 0 und 999 kWh/kg eingeben." promptTitle="Energie Wärme" prompt="Geben Sie hier den Wert für die verbrauchte Wärmeenergie in kWh pro produziertes kg dieses Produkts ein (Werte für die gesamte Produktepalette im Blatt Start erfassen). Wenn Sie das Feld leer lassen, wird automatisch ein Defaultwert verwendet." sqref="G45" xr:uid="{B637CA32-8614-46F4-AB1C-DC1B4B71FA67}">
      <formula1>0</formula1>
      <formula2>999</formula2>
    </dataValidation>
    <dataValidation type="decimal" allowBlank="1" showInputMessage="1" showErrorMessage="1" errorTitle="Fehler" error="Sie müssen Werte zwischen 0 und 999 kWh/kg eingeben." promptTitle="Energie Strom" prompt="Geben Sie hier den Wert für den verbrauchten Strom in kWh pro produziertes kg dieses Produkts ein (Werte für die gesamte Produktepalette im Blatt Start erfassen). Wenn Sie das Feld leer lassen, wird automatisch ein Defaultwert verwendet." sqref="F45" xr:uid="{1D0F0464-7A33-41D4-960C-234382B9833D}">
      <formula1>0</formula1>
      <formula2>999</formula2>
    </dataValidation>
    <dataValidation type="decimal" allowBlank="1" showInputMessage="1" showErrorMessage="1" promptTitle="Materialeffizienz" prompt="Geben Sie hier ein, in welchem Verhältnis Materialinput zu Produktionsoutput stehen (übliche Werte liegen zwischen 70 und 90%). Wenn Sie das Feld leer lassen, werden automatisch Defaultwerte verwendet." sqref="D45" xr:uid="{923BEDEB-7EBC-4D42-8895-81D149183DE2}">
      <formula1>0</formula1>
      <formula2>1</formula2>
    </dataValidation>
    <dataValidation type="whole" allowBlank="1" showInputMessage="1" showErrorMessage="1" errorTitle="Fehler" error="Sie müssen ganzzahlige Werte zwischen 0 und 99999 eingeben." promptTitle="Transportdistanz" prompt="Geben Sie die Distanz zwischen Produktionsort und Ort des Kunden in km ein. Falls verschiedene Transportmittel verwendet werden, erfassen Sie diese separat." sqref="H30:H32" xr:uid="{6D85B8F3-6DE5-44B0-B0E7-2F0B67369866}">
      <formula1>0</formula1>
      <formula2>99999</formula2>
    </dataValidation>
    <dataValidation type="list" allowBlank="1" showInputMessage="1" showErrorMessage="1" promptTitle="Transportmittel" prompt="Wählen Sie ein Transportmittel aus der Liste." sqref="F30:G32" xr:uid="{A5797D3C-4339-4EE2-B7F9-7A606A7C36DB}">
      <formula1>Transporte</formula1>
    </dataValidation>
    <dataValidation allowBlank="1" showInputMessage="1" showErrorMessage="1" promptTitle="Bezeichnung" prompt="Bitte geben Sie an, um welche Transportleistung es sich handelt (z.B. Fabrik Genf - Zürich, LKW)" sqref="D30:D32" xr:uid="{4DBC9AEA-EF7F-440B-836A-98BAF33A2A11}"/>
    <dataValidation allowBlank="1" showInputMessage="1" showErrorMessage="1" promptTitle="Bezeichnung" prompt="Geben Sie hier eine eindeutige Produktbezeichnung ein. Fassen Sie ähnliche Produkte möglichst zusammen." sqref="D9:H9" xr:uid="{62530511-C9C7-47A4-94B0-B66A7797B24D}"/>
    <dataValidation allowBlank="1" showInputMessage="1" showErrorMessage="1" promptTitle="Bemerkungen" prompt="Verwenden Sie dieses Feld für Ihre Bemerkungen." sqref="D11:H11" xr:uid="{8A10B049-D74E-4422-96FF-72E62D9B21F5}"/>
    <dataValidation type="whole" allowBlank="1" showInputMessage="1" showErrorMessage="1" errorTitle="Fehler" error="Es sind nur ganzzahlige Werte zwischen 0 und 99999 zulässig." promptTitle="Anzahl" prompt="Geben Sie hier die angebotene Gesamtanzahl des Produkts ein." sqref="H13" xr:uid="{F4F35FCF-C49B-4B9C-A570-ED808386EDB9}">
      <formula1>0</formula1>
      <formula2>99999</formula2>
    </dataValidation>
    <dataValidation type="decimal" allowBlank="1" showInputMessage="1" showErrorMessage="1" errorTitle="Fehler" error="Es sind nur Werte zwischen 0 und 99999 zulässig." promptTitle="Nettogewicht" prompt="Geben Sie hier das Nettogewicht des Produkts in kg pro Stück ein. Der Wert sollte möglichst genau dem deklarierten Gesamtgewicht entsprechen." sqref="D13" xr:uid="{5BA3505C-685E-4CF5-A490-3CBCA44F0078}">
      <formula1>0</formula1>
      <formula2>99999</formula2>
    </dataValidation>
    <dataValidation type="decimal" allowBlank="1" showInputMessage="1" showErrorMessage="1" errorTitle="Fehler" error="Es sind nur Werte zwischen 0 und 99999 zulässig." promptTitle="Menge" prompt="Geben Sie hier das Gewicht des im Produkt verwendeten Materials ein. Es sind nur positive Werte zulässig." sqref="H16:H27" xr:uid="{4C615330-6F01-4E03-8F4D-B9B67DAA6783}">
      <formula1>0</formula1>
      <formula2>99999</formula2>
    </dataValidation>
    <dataValidation type="list" allowBlank="1" showInputMessage="1" showErrorMessage="1" errorTitle="Fehler" error="Sie müssen einen Eintrag aus der Liste wählen." promptTitle="Material" prompt="Wählen Sie ein Material aus der Liste. Die Listeneinträge sind je nach gewählter Gruppe unterschiedlich." sqref="G16:G27" xr:uid="{D2048A9F-48BC-4D18-9151-6642F1003110}">
      <formula1>INDIRECT($F16)</formula1>
    </dataValidation>
    <dataValidation type="list" allowBlank="1" showInputMessage="1" showErrorMessage="1" errorTitle="Fehler" error="Sie müssen einen Wert aus der Liste wählen." promptTitle="Gruppe" prompt="Wählen Sie eine Materialgruppe aus. " sqref="F16:F27" xr:uid="{FF06517C-FC06-465F-82D2-C5A95DEB9D96}">
      <formula1>RSart</formula1>
    </dataValidation>
    <dataValidation allowBlank="1" showInputMessage="1" showErrorMessage="1" promptTitle="Bezeichnung" prompt="Geben Sie hier ein, um welches Teil des Möbels es sich handelt (z.B. Beschlag Schublade)." sqref="D16:D27" xr:uid="{8F22D901-865F-4826-84F9-6CFFD6009146}"/>
    <dataValidation type="list" allowBlank="1" showInputMessage="1" showErrorMessage="1" sqref="F28" xr:uid="{6EF54075-0170-489F-8F3A-37F58A514091}">
      <formula1>RSart</formula1>
    </dataValidation>
    <dataValidation type="list" allowBlank="1" showInputMessage="1" showErrorMessage="1" sqref="G28" xr:uid="{DBA8FD82-52DA-4EBC-9B3F-9EFA831BEC6F}">
      <formula1>INDIRECT($F28)</formula1>
    </dataValidation>
    <dataValidation allowBlank="1" showInputMessage="1" showErrorMessage="1" promptTitle="Bezeichnung Strom" prompt="Geben Sie hier einen Text zur Bezeichnung der Stromquelle oder der Stromart ein (z.B. &quot;EON Aquamix&quot; oder &quot;Strom ab PV-Anlage Werk 3&quot;)" sqref="D35:E37" xr:uid="{0D56B11B-544B-4D2E-9255-EF9E0642013B}"/>
    <dataValidation type="list" allowBlank="1" showInputMessage="1" showErrorMessage="1" promptTitle="Energieträger Strom" prompt="Wählen Sie denjenigen Eintrag aus der Liste, welcher der verwendeten Stromquelle bzw. dem Strommix am besten entspricht." sqref="F35:G37" xr:uid="{6AB6DB02-2F67-491C-A0EB-1C226892BEF0}">
      <formula1>LstStrom</formula1>
    </dataValidation>
    <dataValidation type="list" allowBlank="1" showInputMessage="1" showErrorMessage="1" promptTitle="Energieträger Wärme" prompt="Wählen Sie denjenigen Eintrag aus der Liste, welcher der verwendeten Wärmequelle am besten entspricht." sqref="F39:G41" xr:uid="{10946F7A-271F-413A-89D4-AAB3A01AD028}">
      <formula1>LstWaerme</formula1>
    </dataValidation>
    <dataValidation type="decimal" allowBlank="1" showInputMessage="1" showErrorMessage="1" errorTitle="Fehler" error="Sie müssen Werte zwischen 0 und 100% eingeben." promptTitle="Anteil" prompt="Geben Sie den Anteil des Energieträgers am gesamten Strommix in Prozenten ein. Die Summe aller Anteile muss 100% betragen." sqref="H35:H37 H39:H41" xr:uid="{A494ADA8-2AA9-450C-9351-A2B6AB405BF0}">
      <formula1>0</formula1>
      <formula2>1</formula2>
    </dataValidation>
  </dataValidations>
  <pageMargins left="0.23622047244094491" right="0.15748031496062992" top="0.94488188976377963" bottom="0.74803149606299213" header="0.31496062992125984" footer="0.31496062992125984"/>
  <pageSetup paperSize="9" scale="67" fitToHeight="0" orientation="portrait" r:id="rId1"/>
  <headerFooter>
    <oddHeader>&amp;L&amp;G</oddHeader>
    <oddFooter>&amp;L&amp;"Roboto,Standard"&amp;9&amp;D&amp;R&amp;"Roboto,Standard"&amp;9&amp;F</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146" r:id="rId5" name="Check Box 2">
              <controlPr defaultSize="0" autoFill="0" autoLine="0" autoPict="0" altText="Identisch zu den Angaben auf dem Blatt &quot;Start&quot;">
                <anchor moveWithCells="1">
                  <from>
                    <xdr:col>1</xdr:col>
                    <xdr:colOff>219075</xdr:colOff>
                    <xdr:row>43</xdr:row>
                    <xdr:rowOff>200025</xdr:rowOff>
                  </from>
                  <to>
                    <xdr:col>2</xdr:col>
                    <xdr:colOff>1857375</xdr:colOff>
                    <xdr:row>44</xdr:row>
                    <xdr:rowOff>200025</xdr:rowOff>
                  </to>
                </anchor>
              </controlPr>
            </control>
          </mc:Choice>
        </mc:AlternateContent>
        <mc:AlternateContent xmlns:mc="http://schemas.openxmlformats.org/markup-compatibility/2006">
          <mc:Choice Requires="x14">
            <control shapeId="6147" r:id="rId6" name="Check Box 3">
              <controlPr defaultSize="0" autoFill="0" autoLine="0" autoPict="0" altText="Identisch zu den Angaben auf dem Blatt &quot;Start&quot;">
                <anchor moveWithCells="1">
                  <from>
                    <xdr:col>1</xdr:col>
                    <xdr:colOff>209550</xdr:colOff>
                    <xdr:row>34</xdr:row>
                    <xdr:rowOff>171450</xdr:rowOff>
                  </from>
                  <to>
                    <xdr:col>2</xdr:col>
                    <xdr:colOff>1847850</xdr:colOff>
                    <xdr:row>36</xdr:row>
                    <xdr:rowOff>47625</xdr:rowOff>
                  </to>
                </anchor>
              </controlPr>
            </control>
          </mc:Choice>
        </mc:AlternateContent>
        <mc:AlternateContent xmlns:mc="http://schemas.openxmlformats.org/markup-compatibility/2006">
          <mc:Choice Requires="x14">
            <control shapeId="6148" r:id="rId7" name="Check Box 4">
              <controlPr defaultSize="0" autoFill="0" autoLine="0" autoPict="0" altText="Identisch zu den Angaben auf dem Blatt &quot;Start&quot;">
                <anchor moveWithCells="1">
                  <from>
                    <xdr:col>1</xdr:col>
                    <xdr:colOff>209550</xdr:colOff>
                    <xdr:row>38</xdr:row>
                    <xdr:rowOff>142875</xdr:rowOff>
                  </from>
                  <to>
                    <xdr:col>2</xdr:col>
                    <xdr:colOff>1838325</xdr:colOff>
                    <xdr:row>40</xdr:row>
                    <xdr:rowOff>47625</xdr:rowOff>
                  </to>
                </anchor>
              </controlPr>
            </control>
          </mc:Choice>
        </mc:AlternateContent>
        <mc:AlternateContent xmlns:mc="http://schemas.openxmlformats.org/markup-compatibility/2006">
          <mc:Choice Requires="x14">
            <control shapeId="6163" r:id="rId8" name="Check Box 19">
              <controlPr defaultSize="0" autoFill="0" autoLine="0" autoPict="0" altText="Identisch zu den Angaben auf dem Blatt &quot;Start&quot;">
                <anchor moveWithCells="1">
                  <from>
                    <xdr:col>1</xdr:col>
                    <xdr:colOff>219075</xdr:colOff>
                    <xdr:row>30</xdr:row>
                    <xdr:rowOff>161925</xdr:rowOff>
                  </from>
                  <to>
                    <xdr:col>2</xdr:col>
                    <xdr:colOff>1857375</xdr:colOff>
                    <xdr:row>32</xdr:row>
                    <xdr:rowOff>19050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115CC039-7ACC-46DB-BD3F-909F0674786A}">
            <x14:dataBar minLength="0" maxLength="100" border="1" negativeBarBorderColorSameAsPositive="0">
              <x14:cfvo type="autoMin"/>
              <x14:cfvo type="autoMax"/>
              <x14:borderColor rgb="FF63C384"/>
              <x14:negativeFillColor rgb="FFFF0000"/>
              <x14:negativeBorderColor rgb="FFFF0000"/>
              <x14:axisColor rgb="FF000000"/>
            </x14:dataBar>
          </x14:cfRule>
          <xm:sqref>I52:I55</xm:sqref>
        </x14:conditionalFormatting>
        <x14:conditionalFormatting xmlns:xm="http://schemas.microsoft.com/office/excel/2006/main">
          <x14:cfRule type="dataBar" id="{998E2B52-B78F-4114-AF10-E847E9079B09}">
            <x14:dataBar minLength="0" maxLength="100" border="1" negativeBarBorderColorSameAsPositive="0">
              <x14:cfvo type="autoMin"/>
              <x14:cfvo type="autoMax"/>
              <x14:borderColor rgb="FF63C384"/>
              <x14:negativeFillColor rgb="FFFF0000"/>
              <x14:negativeBorderColor rgb="FFFF0000"/>
              <x14:axisColor rgb="FF000000"/>
            </x14:dataBar>
          </x14:cfRule>
          <xm:sqref>I56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01166-0350-47F3-A3A7-F1127FD3E6EC}">
  <sheetPr>
    <pageSetUpPr autoPageBreaks="0" fitToPage="1"/>
  </sheetPr>
  <dimension ref="A1:AN98"/>
  <sheetViews>
    <sheetView showGridLines="0" zoomScale="87" zoomScaleNormal="87" workbookViewId="0">
      <selection activeCell="D9" sqref="D9:H9"/>
    </sheetView>
  </sheetViews>
  <sheetFormatPr baseColWidth="10" defaultColWidth="11.42578125" defaultRowHeight="15"/>
  <cols>
    <col min="1" max="1" width="2.5703125" style="146" customWidth="1"/>
    <col min="2" max="2" width="3.42578125" style="146" customWidth="1"/>
    <col min="3" max="3" width="31.140625" style="146" customWidth="1"/>
    <col min="4" max="4" width="18" style="146" customWidth="1"/>
    <col min="5" max="5" width="23.28515625" style="146" customWidth="1"/>
    <col min="6" max="7" width="26.28515625" style="146" customWidth="1"/>
    <col min="8" max="8" width="14" style="146" customWidth="1"/>
    <col min="9" max="9" width="6.140625" style="146" customWidth="1"/>
    <col min="10" max="10" width="18.5703125" style="146" customWidth="1"/>
    <col min="11" max="11" width="24.42578125" style="146" hidden="1" customWidth="1"/>
    <col min="12" max="12" width="21.5703125" style="146" hidden="1" customWidth="1"/>
    <col min="13" max="19" width="16.7109375" style="146" hidden="1" customWidth="1"/>
    <col min="20" max="20" width="24.5703125" style="146" hidden="1" customWidth="1"/>
    <col min="21" max="16384" width="11.42578125" style="146"/>
  </cols>
  <sheetData>
    <row r="1" spans="1:40" s="6" customFormat="1">
      <c r="A1" s="7"/>
      <c r="B1" s="7"/>
      <c r="C1" s="9"/>
      <c r="D1" s="9"/>
      <c r="E1" s="9"/>
      <c r="F1" s="9"/>
      <c r="G1" s="9"/>
      <c r="H1" s="9"/>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row>
    <row r="2" spans="1:40" s="6" customFormat="1">
      <c r="A2" s="7"/>
      <c r="B2" s="7"/>
      <c r="C2" s="9"/>
      <c r="D2" s="9"/>
      <c r="E2" s="9"/>
      <c r="F2" s="9"/>
      <c r="G2" s="9"/>
      <c r="H2" s="9"/>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row>
    <row r="3" spans="1:40" s="6" customFormat="1">
      <c r="A3" s="7"/>
      <c r="B3" s="7"/>
      <c r="C3" s="9"/>
      <c r="D3" s="9"/>
      <c r="E3" s="9"/>
      <c r="F3" s="9"/>
      <c r="G3" s="9"/>
      <c r="H3" s="9"/>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row>
    <row r="4" spans="1:40" s="6" customFormat="1" ht="12" customHeight="1">
      <c r="A4" s="7"/>
      <c r="B4" s="7"/>
      <c r="C4" s="9"/>
      <c r="D4" s="9"/>
      <c r="E4" s="9"/>
      <c r="F4" s="9"/>
      <c r="G4" s="9"/>
      <c r="H4" s="9"/>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row>
    <row r="5" spans="1:40" s="6" customFormat="1">
      <c r="A5" s="7"/>
      <c r="B5" s="7"/>
      <c r="C5" s="9"/>
      <c r="D5" s="9"/>
      <c r="E5" s="9"/>
      <c r="F5" s="9"/>
      <c r="G5" s="9"/>
      <c r="H5" s="9"/>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row>
    <row r="6" spans="1:40" s="340" customFormat="1" ht="25.5" customHeight="1">
      <c r="A6" s="336"/>
      <c r="B6" s="11"/>
      <c r="C6" s="337" t="s">
        <v>34</v>
      </c>
      <c r="D6" s="339"/>
      <c r="E6" s="339"/>
      <c r="F6" s="339"/>
      <c r="G6" s="338" t="str">
        <f>"Version "&amp;Version</f>
        <v>Version 1.3</v>
      </c>
      <c r="H6" s="471">
        <f>VersionsDatum</f>
        <v>45229</v>
      </c>
      <c r="I6" s="471"/>
      <c r="J6" s="336"/>
      <c r="K6" s="242" t="s">
        <v>235</v>
      </c>
      <c r="L6" s="11"/>
      <c r="M6" s="11"/>
      <c r="N6" s="11"/>
      <c r="O6" s="11"/>
      <c r="P6" s="11"/>
      <c r="Q6" s="11"/>
      <c r="R6" s="11"/>
      <c r="S6" s="11"/>
      <c r="T6" s="11"/>
      <c r="U6" s="336"/>
      <c r="V6" s="336"/>
      <c r="W6" s="336"/>
      <c r="X6" s="336"/>
      <c r="Y6" s="336"/>
      <c r="Z6" s="336"/>
      <c r="AA6" s="336"/>
      <c r="AB6" s="336"/>
      <c r="AC6" s="336"/>
      <c r="AD6" s="336"/>
      <c r="AE6" s="336"/>
      <c r="AF6" s="336"/>
      <c r="AG6" s="336"/>
      <c r="AH6" s="336"/>
      <c r="AI6" s="336"/>
      <c r="AJ6" s="336"/>
      <c r="AK6" s="336"/>
      <c r="AL6" s="336"/>
      <c r="AM6" s="336"/>
      <c r="AN6" s="336"/>
    </row>
    <row r="7" spans="1:40" s="6" customFormat="1" ht="4.5" customHeight="1" thickBot="1">
      <c r="A7" s="7"/>
      <c r="B7" s="268"/>
      <c r="C7" s="268"/>
      <c r="D7" s="268"/>
      <c r="E7" s="268"/>
      <c r="F7" s="268"/>
      <c r="G7" s="268"/>
      <c r="H7" s="268"/>
      <c r="I7" s="268"/>
      <c r="J7" s="7"/>
      <c r="K7" s="11"/>
      <c r="L7" s="11"/>
      <c r="M7" s="11"/>
      <c r="N7" s="11"/>
      <c r="O7" s="11"/>
      <c r="P7" s="11"/>
      <c r="Q7" s="11"/>
      <c r="R7" s="11"/>
      <c r="S7" s="11"/>
      <c r="T7" s="11"/>
      <c r="U7" s="7"/>
      <c r="V7" s="7"/>
      <c r="W7" s="7"/>
      <c r="X7" s="7"/>
      <c r="Y7" s="7"/>
      <c r="Z7" s="7"/>
      <c r="AA7" s="7"/>
      <c r="AB7" s="7"/>
      <c r="AC7" s="7"/>
      <c r="AD7" s="7"/>
      <c r="AE7" s="7"/>
      <c r="AF7" s="7"/>
      <c r="AG7" s="7"/>
      <c r="AH7" s="7"/>
      <c r="AI7" s="7"/>
      <c r="AJ7" s="7"/>
      <c r="AK7" s="7"/>
      <c r="AL7" s="7"/>
      <c r="AM7" s="7"/>
      <c r="AN7" s="7"/>
    </row>
    <row r="8" spans="1:40" s="6" customFormat="1" ht="27" customHeight="1">
      <c r="A8" s="7"/>
      <c r="B8" s="11"/>
      <c r="C8" s="233" t="str">
        <f>"Produkt 2"&amp;IF(D9&lt;&gt;"",": "&amp;D9,"")</f>
        <v>Produkt 2</v>
      </c>
      <c r="D8" s="233"/>
      <c r="E8" s="233"/>
      <c r="F8" s="14"/>
      <c r="G8" s="13"/>
      <c r="H8" s="232" t="b">
        <f>IF(AND(COUNTA(F$16:F$27)&gt;0,COUNTA(G$16:G$27)&gt;0,SUM(H$16:H$27)&gt;0),TRUE,FALSE)</f>
        <v>0</v>
      </c>
      <c r="I8" s="13"/>
      <c r="J8" s="7"/>
      <c r="K8" s="236" t="s">
        <v>56</v>
      </c>
      <c r="L8" s="475" t="s">
        <v>172</v>
      </c>
      <c r="M8" s="476"/>
      <c r="N8" s="476"/>
      <c r="O8" s="476"/>
      <c r="P8" s="476"/>
      <c r="Q8" s="476"/>
      <c r="R8" s="476"/>
      <c r="S8" s="476"/>
      <c r="T8" s="265"/>
      <c r="U8" s="7"/>
      <c r="V8" s="7"/>
      <c r="W8" s="7"/>
      <c r="X8" s="7"/>
      <c r="Y8" s="7"/>
      <c r="Z8" s="7"/>
      <c r="AA8" s="7"/>
      <c r="AB8" s="7"/>
      <c r="AC8" s="7"/>
      <c r="AD8" s="7"/>
      <c r="AE8" s="7"/>
      <c r="AF8" s="7"/>
      <c r="AG8" s="7"/>
      <c r="AH8" s="7"/>
      <c r="AI8" s="7"/>
      <c r="AJ8" s="7"/>
      <c r="AK8" s="7"/>
      <c r="AL8" s="7"/>
      <c r="AM8" s="7"/>
      <c r="AN8" s="7"/>
    </row>
    <row r="9" spans="1:40" s="6" customFormat="1" ht="18" customHeight="1">
      <c r="A9" s="7"/>
      <c r="B9" s="11"/>
      <c r="C9" s="148" t="s">
        <v>56</v>
      </c>
      <c r="D9" s="474"/>
      <c r="E9" s="474"/>
      <c r="F9" s="474"/>
      <c r="G9" s="474"/>
      <c r="H9" s="474"/>
      <c r="I9" s="71"/>
      <c r="J9" s="149"/>
      <c r="K9" s="234" t="s">
        <v>375</v>
      </c>
      <c r="L9" s="397">
        <f>Start!Y40</f>
        <v>598.54</v>
      </c>
      <c r="M9" s="145"/>
      <c r="N9" s="384">
        <f>Start!Z40</f>
        <v>0.63600000000000001</v>
      </c>
      <c r="O9" s="145"/>
      <c r="P9" s="384">
        <f>Start!AA40</f>
        <v>1.7452799999999999</v>
      </c>
      <c r="Q9" s="145"/>
      <c r="R9" s="400">
        <f>Start!AB40</f>
        <v>0.32163999999999998</v>
      </c>
      <c r="S9" s="145"/>
      <c r="T9" s="145"/>
      <c r="U9" s="7"/>
      <c r="V9" s="7"/>
      <c r="W9" s="7"/>
      <c r="X9" s="7"/>
      <c r="Y9" s="7"/>
      <c r="Z9" s="7"/>
      <c r="AA9" s="7"/>
      <c r="AB9" s="7"/>
      <c r="AC9" s="7"/>
      <c r="AD9" s="7"/>
      <c r="AE9" s="7"/>
      <c r="AF9" s="7"/>
      <c r="AG9" s="7"/>
      <c r="AH9" s="7"/>
      <c r="AI9" s="7"/>
      <c r="AJ9" s="7"/>
      <c r="AK9" s="7"/>
      <c r="AL9" s="7"/>
      <c r="AM9" s="7"/>
      <c r="AN9" s="7"/>
    </row>
    <row r="10" spans="1:40" s="6" customFormat="1" ht="6" customHeight="1">
      <c r="A10" s="7"/>
      <c r="B10" s="11"/>
      <c r="C10" s="148"/>
      <c r="D10" s="71"/>
      <c r="E10" s="71"/>
      <c r="F10" s="71"/>
      <c r="G10" s="71"/>
      <c r="H10" s="71"/>
      <c r="I10" s="71"/>
      <c r="J10" s="149"/>
      <c r="K10" s="234"/>
      <c r="L10" s="237"/>
      <c r="M10" s="145"/>
      <c r="N10" s="145"/>
      <c r="O10" s="145"/>
      <c r="P10" s="145"/>
      <c r="Q10" s="145"/>
      <c r="R10" s="145"/>
      <c r="S10" s="145"/>
      <c r="T10" s="145"/>
      <c r="U10" s="7"/>
      <c r="V10" s="7"/>
      <c r="W10" s="7"/>
      <c r="X10" s="7"/>
      <c r="Y10" s="7"/>
      <c r="Z10" s="7"/>
      <c r="AA10" s="7"/>
      <c r="AB10" s="7"/>
      <c r="AC10" s="7"/>
      <c r="AD10" s="7"/>
      <c r="AE10" s="7"/>
      <c r="AF10" s="7"/>
      <c r="AG10" s="7"/>
      <c r="AH10" s="7"/>
      <c r="AI10" s="7"/>
      <c r="AJ10" s="7"/>
      <c r="AK10" s="7"/>
      <c r="AL10" s="7"/>
      <c r="AM10" s="7"/>
      <c r="AN10" s="7"/>
    </row>
    <row r="11" spans="1:40" s="6" customFormat="1" ht="18" customHeight="1" thickBot="1">
      <c r="A11" s="7"/>
      <c r="B11" s="11"/>
      <c r="C11" s="148" t="s">
        <v>57</v>
      </c>
      <c r="D11" s="474"/>
      <c r="E11" s="474"/>
      <c r="F11" s="474"/>
      <c r="G11" s="474"/>
      <c r="H11" s="474"/>
      <c r="I11" s="71"/>
      <c r="J11" s="149"/>
      <c r="K11" s="248" t="s">
        <v>376</v>
      </c>
      <c r="L11" s="398">
        <f>Start!Y42</f>
        <v>295.74</v>
      </c>
      <c r="M11" s="240"/>
      <c r="N11" s="399">
        <f>Start!Z42</f>
        <v>5.2900000000000004E-3</v>
      </c>
      <c r="O11" s="240"/>
      <c r="P11" s="399">
        <f>Start!AA42</f>
        <v>1.0708599999999999</v>
      </c>
      <c r="Q11" s="240"/>
      <c r="R11" s="401">
        <f>Start!AB42</f>
        <v>0.24480000000000005</v>
      </c>
      <c r="S11" s="240"/>
      <c r="T11" s="240"/>
      <c r="U11" s="7"/>
      <c r="V11" s="7"/>
      <c r="W11" s="7"/>
      <c r="X11" s="7"/>
      <c r="Y11" s="7"/>
      <c r="Z11" s="7"/>
      <c r="AA11" s="7"/>
      <c r="AB11" s="7"/>
      <c r="AC11" s="7"/>
      <c r="AD11" s="7"/>
      <c r="AE11" s="7"/>
      <c r="AF11" s="7"/>
      <c r="AG11" s="7"/>
      <c r="AH11" s="7"/>
      <c r="AI11" s="7"/>
      <c r="AJ11" s="7"/>
      <c r="AK11" s="7"/>
      <c r="AL11" s="7"/>
      <c r="AM11" s="7"/>
      <c r="AN11" s="7"/>
    </row>
    <row r="12" spans="1:40" s="6" customFormat="1" ht="6" customHeight="1">
      <c r="A12" s="7"/>
      <c r="B12" s="11"/>
      <c r="C12" s="148"/>
      <c r="D12" s="71"/>
      <c r="E12" s="71"/>
      <c r="F12" s="71"/>
      <c r="G12" s="71"/>
      <c r="H12" s="71"/>
      <c r="I12" s="71"/>
      <c r="J12" s="149"/>
      <c r="K12" s="234"/>
      <c r="L12" s="238"/>
      <c r="M12" s="10"/>
      <c r="N12" s="10"/>
      <c r="O12" s="10"/>
      <c r="P12" s="10"/>
      <c r="Q12" s="10"/>
      <c r="R12" s="10"/>
      <c r="S12" s="10"/>
      <c r="T12" s="10"/>
      <c r="U12" s="7"/>
      <c r="V12" s="7"/>
      <c r="W12" s="7"/>
      <c r="X12" s="7"/>
      <c r="Y12" s="7"/>
      <c r="Z12" s="7"/>
      <c r="AA12" s="7"/>
      <c r="AB12" s="7"/>
      <c r="AC12" s="7"/>
      <c r="AD12" s="7"/>
      <c r="AE12" s="7"/>
      <c r="AF12" s="7"/>
      <c r="AG12" s="7"/>
      <c r="AH12" s="7"/>
      <c r="AI12" s="7"/>
      <c r="AJ12" s="7"/>
      <c r="AK12" s="7"/>
      <c r="AL12" s="7"/>
      <c r="AM12" s="7"/>
      <c r="AN12" s="7"/>
    </row>
    <row r="13" spans="1:40" s="6" customFormat="1" ht="18" customHeight="1">
      <c r="A13" s="7"/>
      <c r="B13" s="11"/>
      <c r="C13" s="148" t="s">
        <v>163</v>
      </c>
      <c r="D13" s="259"/>
      <c r="E13" s="148" t="s">
        <v>226</v>
      </c>
      <c r="F13" s="148"/>
      <c r="G13" s="264" t="s">
        <v>168</v>
      </c>
      <c r="H13" s="266">
        <v>1</v>
      </c>
      <c r="I13" s="148" t="s">
        <v>169</v>
      </c>
      <c r="J13" s="149"/>
      <c r="K13" s="234" t="s">
        <v>157</v>
      </c>
      <c r="L13" s="356" t="s">
        <v>148</v>
      </c>
      <c r="M13" s="235" t="s">
        <v>149</v>
      </c>
      <c r="N13" s="235" t="s">
        <v>334</v>
      </c>
      <c r="O13" s="235" t="s">
        <v>335</v>
      </c>
      <c r="P13" s="235" t="s">
        <v>150</v>
      </c>
      <c r="Q13" s="235" t="s">
        <v>151</v>
      </c>
      <c r="R13" s="235" t="s">
        <v>152</v>
      </c>
      <c r="S13" s="235" t="s">
        <v>153</v>
      </c>
      <c r="T13" s="235" t="s">
        <v>268</v>
      </c>
      <c r="U13" s="7"/>
      <c r="V13" s="7"/>
      <c r="W13" s="7"/>
      <c r="X13" s="7"/>
      <c r="Y13" s="7"/>
      <c r="Z13" s="7"/>
      <c r="AA13" s="7"/>
      <c r="AB13" s="7"/>
      <c r="AC13" s="7"/>
      <c r="AD13" s="7"/>
      <c r="AE13" s="7"/>
      <c r="AF13" s="7"/>
      <c r="AG13" s="7"/>
      <c r="AH13" s="7"/>
      <c r="AI13" s="7"/>
      <c r="AJ13" s="7"/>
      <c r="AK13" s="7"/>
      <c r="AL13" s="7"/>
      <c r="AM13" s="7"/>
      <c r="AN13" s="7"/>
    </row>
    <row r="14" spans="1:40" s="6" customFormat="1" ht="6" customHeight="1" thickBot="1">
      <c r="A14" s="7"/>
      <c r="B14" s="11"/>
      <c r="C14" s="148"/>
      <c r="D14" s="71"/>
      <c r="E14" s="71"/>
      <c r="F14" s="71"/>
      <c r="G14" s="71"/>
      <c r="H14" s="71"/>
      <c r="I14" s="71"/>
      <c r="J14" s="149"/>
      <c r="K14" s="14"/>
      <c r="L14" s="237"/>
      <c r="M14" s="145"/>
      <c r="N14" s="145"/>
      <c r="O14" s="145"/>
      <c r="P14" s="145"/>
      <c r="Q14" s="145"/>
      <c r="R14" s="145"/>
      <c r="S14" s="145"/>
      <c r="T14" s="145"/>
      <c r="U14" s="7"/>
      <c r="V14" s="7"/>
      <c r="W14" s="7"/>
      <c r="X14" s="7"/>
      <c r="Y14" s="7"/>
      <c r="Z14" s="7"/>
      <c r="AA14" s="7"/>
      <c r="AB14" s="7"/>
      <c r="AC14" s="7"/>
      <c r="AD14" s="7"/>
      <c r="AE14" s="7"/>
      <c r="AF14" s="7"/>
      <c r="AG14" s="7"/>
      <c r="AH14" s="7"/>
      <c r="AI14" s="7"/>
      <c r="AJ14" s="7"/>
      <c r="AK14" s="7"/>
      <c r="AL14" s="7"/>
      <c r="AM14" s="7"/>
      <c r="AN14" s="7"/>
    </row>
    <row r="15" spans="1:40" s="6" customFormat="1" ht="20.25" customHeight="1" thickBot="1">
      <c r="A15" s="7"/>
      <c r="B15" s="348"/>
      <c r="C15" s="451" t="s">
        <v>173</v>
      </c>
      <c r="D15" s="448" t="s">
        <v>56</v>
      </c>
      <c r="E15" s="448"/>
      <c r="F15" s="448" t="s">
        <v>156</v>
      </c>
      <c r="G15" s="448" t="s">
        <v>157</v>
      </c>
      <c r="H15" s="452" t="s">
        <v>159</v>
      </c>
      <c r="I15" s="448" t="s">
        <v>158</v>
      </c>
      <c r="J15" s="150"/>
      <c r="K15" s="14"/>
      <c r="L15" s="354" t="s">
        <v>16</v>
      </c>
      <c r="M15" s="355" t="s">
        <v>16</v>
      </c>
      <c r="N15" s="355" t="s">
        <v>154</v>
      </c>
      <c r="O15" s="355" t="s">
        <v>154</v>
      </c>
      <c r="P15" s="355" t="s">
        <v>154</v>
      </c>
      <c r="Q15" s="355" t="s">
        <v>154</v>
      </c>
      <c r="R15" s="355" t="s">
        <v>155</v>
      </c>
      <c r="S15" s="355" t="s">
        <v>155</v>
      </c>
      <c r="T15" s="355" t="s">
        <v>258</v>
      </c>
      <c r="U15" s="7"/>
      <c r="V15" s="7"/>
      <c r="W15" s="7"/>
      <c r="X15" s="7"/>
      <c r="Y15" s="7"/>
      <c r="Z15" s="7"/>
      <c r="AA15" s="7"/>
      <c r="AB15" s="7"/>
      <c r="AC15" s="7"/>
      <c r="AD15" s="7"/>
      <c r="AE15" s="7"/>
      <c r="AF15" s="7"/>
      <c r="AG15" s="7"/>
      <c r="AH15" s="7"/>
      <c r="AI15" s="7"/>
      <c r="AJ15" s="7"/>
      <c r="AK15" s="7"/>
      <c r="AL15" s="7"/>
      <c r="AM15" s="7"/>
      <c r="AN15" s="7"/>
    </row>
    <row r="16" spans="1:40" s="6" customFormat="1" ht="14.25" customHeight="1">
      <c r="A16" s="7"/>
      <c r="B16" s="11"/>
      <c r="C16" s="148" t="s">
        <v>416</v>
      </c>
      <c r="D16" s="468"/>
      <c r="E16" s="469"/>
      <c r="F16" s="372"/>
      <c r="G16" s="372"/>
      <c r="H16" s="373"/>
      <c r="I16" s="379" t="str">
        <f t="shared" ref="I16:I27" si="0">IFERROR(VLOOKUP(G16,MxLCA,3,FALSE),"")</f>
        <v/>
      </c>
      <c r="J16" s="150"/>
      <c r="K16" s="14"/>
      <c r="L16" s="252">
        <f t="shared" ref="L16:L27" si="1">IFERROR(VLOOKUP($G16,MxLCA,5,FALSE)*$H16*Anzahl/$M$45,0)</f>
        <v>0</v>
      </c>
      <c r="M16" s="253">
        <f t="shared" ref="M16:M27" si="2">IFERROR(VLOOKUP($G16,MxLCA,6,FALSE)*$H16*Anzahl/IF(OR($M$45&gt;GWOMatEff,$M$45=0),DefMatEff,$M$45),0)</f>
        <v>0</v>
      </c>
      <c r="N16" s="345">
        <f t="shared" ref="N16:N27" si="3">IFERROR(VLOOKUP($G16,MxLCA,8,FALSE)*$H16*Anzahl/IF(OR($M$45&gt;GWOMatEff,$M$45=0),DefMatEff,$M$45),0)</f>
        <v>0</v>
      </c>
      <c r="O16" s="345">
        <f t="shared" ref="O16:O27" si="4">IFERROR(VLOOKUP($G16,MxLCA,9,FALSE)*$H16*Anzahl/IF(OR($M$45&gt;GWOMatEff,$M$45=0),DefMatEff,$M$45),0)</f>
        <v>0</v>
      </c>
      <c r="P16" s="249">
        <f t="shared" ref="P16:P27" si="5">IFERROR(VLOOKUP($G16,MxLCA,14,FALSE)*$H16*Anzahl/IF(OR($M$45&gt;GWOMatEff,$M$45=0),DefMatEff,$M$45),0)</f>
        <v>0</v>
      </c>
      <c r="Q16" s="249">
        <f t="shared" ref="Q16:Q27" si="6">IFERROR(VLOOKUP($G16,MxLCA,15,FALSE)*$H16*Anzahl/IF(OR($M$45&gt;GWOMatEff,$M$45=0),DefMatEff,$M$45),0)</f>
        <v>0</v>
      </c>
      <c r="R16" s="250">
        <f t="shared" ref="R16:R27" si="7">IFERROR(VLOOKUP($G16,MxLCA,17,FALSE)*$H16*Anzahl/IF(OR($M$45&gt;GWOMatEff,$M$45=0),DefMatEff,$M$45),0)</f>
        <v>0</v>
      </c>
      <c r="S16" s="250">
        <f t="shared" ref="S16:S27" si="8">IFERROR(VLOOKUP($G16,MxLCA,18,FALSE)*$H16*Anzahl/IF(OR($M$45&gt;GWOMatEff,$M$45=0),DefMatEff,$M$45),0)</f>
        <v>0</v>
      </c>
      <c r="T16" s="251">
        <f t="shared" ref="T16:T27" si="9">IFERROR(VLOOKUP($G16,MxLCA,19,FALSE)*$H16*Anzahl,0)</f>
        <v>0</v>
      </c>
      <c r="U16" s="7"/>
      <c r="V16" s="7"/>
      <c r="W16" s="7"/>
      <c r="X16" s="7"/>
      <c r="Y16" s="7"/>
      <c r="Z16" s="7"/>
      <c r="AA16" s="7"/>
      <c r="AB16" s="7"/>
      <c r="AC16" s="7"/>
      <c r="AD16" s="7"/>
      <c r="AE16" s="7"/>
      <c r="AF16" s="7"/>
      <c r="AG16" s="7"/>
      <c r="AH16" s="7"/>
      <c r="AI16" s="7"/>
      <c r="AJ16" s="7"/>
      <c r="AK16" s="7"/>
      <c r="AL16" s="7"/>
      <c r="AM16" s="7"/>
      <c r="AN16" s="7"/>
    </row>
    <row r="17" spans="1:40" s="6" customFormat="1" ht="14.25" customHeight="1">
      <c r="A17" s="7"/>
      <c r="B17" s="11"/>
      <c r="C17" s="148" t="s">
        <v>229</v>
      </c>
      <c r="D17" s="468"/>
      <c r="E17" s="469"/>
      <c r="F17" s="372"/>
      <c r="G17" s="372"/>
      <c r="H17" s="373"/>
      <c r="I17" s="379" t="str">
        <f t="shared" si="0"/>
        <v/>
      </c>
      <c r="J17" s="150"/>
      <c r="K17" s="234"/>
      <c r="L17" s="254">
        <f t="shared" si="1"/>
        <v>0</v>
      </c>
      <c r="M17" s="369">
        <f t="shared" si="2"/>
        <v>0</v>
      </c>
      <c r="N17" s="346">
        <f t="shared" si="3"/>
        <v>0</v>
      </c>
      <c r="O17" s="346">
        <f t="shared" si="4"/>
        <v>0</v>
      </c>
      <c r="P17" s="370">
        <f t="shared" si="5"/>
        <v>0</v>
      </c>
      <c r="Q17" s="370">
        <f t="shared" si="6"/>
        <v>0</v>
      </c>
      <c r="R17" s="371">
        <f t="shared" si="7"/>
        <v>0</v>
      </c>
      <c r="S17" s="371">
        <f t="shared" si="8"/>
        <v>0</v>
      </c>
      <c r="T17" s="255">
        <f t="shared" si="9"/>
        <v>0</v>
      </c>
      <c r="U17" s="7"/>
      <c r="V17" s="7"/>
      <c r="W17" s="7"/>
      <c r="X17" s="7"/>
      <c r="Y17" s="7"/>
      <c r="Z17" s="7"/>
      <c r="AA17" s="7"/>
      <c r="AB17" s="7"/>
      <c r="AC17" s="7"/>
      <c r="AD17" s="7"/>
      <c r="AE17" s="7"/>
      <c r="AF17" s="7"/>
      <c r="AG17" s="7"/>
      <c r="AH17" s="7"/>
      <c r="AI17" s="7"/>
      <c r="AJ17" s="7"/>
      <c r="AK17" s="7"/>
      <c r="AL17" s="7"/>
      <c r="AM17" s="7"/>
      <c r="AN17" s="7"/>
    </row>
    <row r="18" spans="1:40" s="6" customFormat="1" ht="14.25" customHeight="1">
      <c r="A18" s="7"/>
      <c r="B18" s="11"/>
      <c r="C18" s="148"/>
      <c r="D18" s="468"/>
      <c r="E18" s="469"/>
      <c r="F18" s="372"/>
      <c r="G18" s="372"/>
      <c r="H18" s="373"/>
      <c r="I18" s="379" t="str">
        <f t="shared" si="0"/>
        <v/>
      </c>
      <c r="J18" s="150"/>
      <c r="K18" s="234"/>
      <c r="L18" s="254">
        <f t="shared" si="1"/>
        <v>0</v>
      </c>
      <c r="M18" s="369">
        <f t="shared" si="2"/>
        <v>0</v>
      </c>
      <c r="N18" s="346">
        <f t="shared" si="3"/>
        <v>0</v>
      </c>
      <c r="O18" s="346">
        <f t="shared" si="4"/>
        <v>0</v>
      </c>
      <c r="P18" s="370">
        <f t="shared" si="5"/>
        <v>0</v>
      </c>
      <c r="Q18" s="370">
        <f t="shared" si="6"/>
        <v>0</v>
      </c>
      <c r="R18" s="371">
        <f t="shared" si="7"/>
        <v>0</v>
      </c>
      <c r="S18" s="371">
        <f t="shared" si="8"/>
        <v>0</v>
      </c>
      <c r="T18" s="255">
        <f t="shared" si="9"/>
        <v>0</v>
      </c>
      <c r="U18" s="7"/>
      <c r="V18" s="7"/>
      <c r="W18" s="7"/>
      <c r="X18" s="7"/>
      <c r="Y18" s="7"/>
      <c r="Z18" s="7"/>
      <c r="AA18" s="7"/>
      <c r="AB18" s="7"/>
      <c r="AC18" s="7"/>
      <c r="AD18" s="7"/>
      <c r="AE18" s="7"/>
      <c r="AF18" s="7"/>
      <c r="AG18" s="7"/>
      <c r="AH18" s="7"/>
      <c r="AI18" s="7"/>
      <c r="AJ18" s="7"/>
      <c r="AK18" s="7"/>
      <c r="AL18" s="7"/>
      <c r="AM18" s="7"/>
      <c r="AN18" s="7"/>
    </row>
    <row r="19" spans="1:40" s="6" customFormat="1" ht="14.25" customHeight="1">
      <c r="A19" s="7"/>
      <c r="B19" s="11"/>
      <c r="C19" s="71"/>
      <c r="D19" s="468"/>
      <c r="E19" s="469"/>
      <c r="F19" s="372"/>
      <c r="G19" s="372"/>
      <c r="H19" s="373"/>
      <c r="I19" s="379" t="str">
        <f t="shared" si="0"/>
        <v/>
      </c>
      <c r="J19" s="150"/>
      <c r="K19" s="234"/>
      <c r="L19" s="254">
        <f t="shared" si="1"/>
        <v>0</v>
      </c>
      <c r="M19" s="369">
        <f t="shared" si="2"/>
        <v>0</v>
      </c>
      <c r="N19" s="346">
        <f t="shared" si="3"/>
        <v>0</v>
      </c>
      <c r="O19" s="346">
        <f t="shared" si="4"/>
        <v>0</v>
      </c>
      <c r="P19" s="370">
        <f t="shared" si="5"/>
        <v>0</v>
      </c>
      <c r="Q19" s="370">
        <f t="shared" si="6"/>
        <v>0</v>
      </c>
      <c r="R19" s="371">
        <f t="shared" si="7"/>
        <v>0</v>
      </c>
      <c r="S19" s="371">
        <f t="shared" si="8"/>
        <v>0</v>
      </c>
      <c r="T19" s="255">
        <f t="shared" si="9"/>
        <v>0</v>
      </c>
      <c r="U19" s="7"/>
      <c r="V19" s="7"/>
      <c r="W19" s="7"/>
      <c r="X19" s="7"/>
      <c r="Y19" s="7"/>
      <c r="Z19" s="7"/>
      <c r="AA19" s="7"/>
      <c r="AB19" s="7"/>
      <c r="AC19" s="7"/>
      <c r="AD19" s="7"/>
      <c r="AE19" s="7"/>
      <c r="AF19" s="7"/>
      <c r="AG19" s="7"/>
      <c r="AH19" s="7"/>
      <c r="AI19" s="7"/>
      <c r="AJ19" s="7"/>
      <c r="AK19" s="7"/>
      <c r="AL19" s="7"/>
      <c r="AM19" s="7"/>
      <c r="AN19" s="7"/>
    </row>
    <row r="20" spans="1:40" s="6" customFormat="1" ht="14.25" customHeight="1">
      <c r="A20" s="7"/>
      <c r="B20" s="11"/>
      <c r="C20" s="71"/>
      <c r="D20" s="468"/>
      <c r="E20" s="469"/>
      <c r="F20" s="372"/>
      <c r="G20" s="372"/>
      <c r="H20" s="373"/>
      <c r="I20" s="379" t="str">
        <f t="shared" si="0"/>
        <v/>
      </c>
      <c r="J20" s="150"/>
      <c r="K20" s="234"/>
      <c r="L20" s="254">
        <f t="shared" si="1"/>
        <v>0</v>
      </c>
      <c r="M20" s="369">
        <f t="shared" si="2"/>
        <v>0</v>
      </c>
      <c r="N20" s="346">
        <f t="shared" si="3"/>
        <v>0</v>
      </c>
      <c r="O20" s="346">
        <f t="shared" si="4"/>
        <v>0</v>
      </c>
      <c r="P20" s="370">
        <f t="shared" si="5"/>
        <v>0</v>
      </c>
      <c r="Q20" s="370">
        <f t="shared" si="6"/>
        <v>0</v>
      </c>
      <c r="R20" s="371">
        <f t="shared" si="7"/>
        <v>0</v>
      </c>
      <c r="S20" s="371">
        <f t="shared" si="8"/>
        <v>0</v>
      </c>
      <c r="T20" s="255">
        <f t="shared" si="9"/>
        <v>0</v>
      </c>
      <c r="U20" s="7"/>
      <c r="V20" s="7"/>
      <c r="W20" s="7"/>
      <c r="X20" s="7"/>
      <c r="Y20" s="7"/>
      <c r="Z20" s="7"/>
      <c r="AA20" s="7"/>
      <c r="AB20" s="7"/>
      <c r="AC20" s="7"/>
      <c r="AD20" s="7"/>
      <c r="AE20" s="7"/>
      <c r="AF20" s="7"/>
      <c r="AG20" s="7"/>
      <c r="AH20" s="7"/>
      <c r="AI20" s="7"/>
      <c r="AJ20" s="7"/>
      <c r="AK20" s="7"/>
      <c r="AL20" s="7"/>
      <c r="AM20" s="7"/>
      <c r="AN20" s="7"/>
    </row>
    <row r="21" spans="1:40" s="6" customFormat="1" ht="14.25" customHeight="1">
      <c r="A21" s="7"/>
      <c r="B21" s="11"/>
      <c r="C21" s="71"/>
      <c r="D21" s="468"/>
      <c r="E21" s="469"/>
      <c r="F21" s="372"/>
      <c r="G21" s="372"/>
      <c r="H21" s="373"/>
      <c r="I21" s="379" t="str">
        <f t="shared" si="0"/>
        <v/>
      </c>
      <c r="J21" s="150"/>
      <c r="K21" s="234"/>
      <c r="L21" s="254">
        <f t="shared" si="1"/>
        <v>0</v>
      </c>
      <c r="M21" s="369">
        <f t="shared" si="2"/>
        <v>0</v>
      </c>
      <c r="N21" s="346">
        <f t="shared" si="3"/>
        <v>0</v>
      </c>
      <c r="O21" s="346">
        <f t="shared" si="4"/>
        <v>0</v>
      </c>
      <c r="P21" s="370">
        <f t="shared" si="5"/>
        <v>0</v>
      </c>
      <c r="Q21" s="370">
        <f t="shared" si="6"/>
        <v>0</v>
      </c>
      <c r="R21" s="371">
        <f t="shared" si="7"/>
        <v>0</v>
      </c>
      <c r="S21" s="371">
        <f t="shared" si="8"/>
        <v>0</v>
      </c>
      <c r="T21" s="255">
        <f t="shared" si="9"/>
        <v>0</v>
      </c>
      <c r="U21" s="7"/>
      <c r="V21" s="7"/>
      <c r="W21" s="7"/>
      <c r="X21" s="7"/>
      <c r="Y21" s="7"/>
      <c r="Z21" s="7"/>
      <c r="AA21" s="7"/>
      <c r="AB21" s="7"/>
      <c r="AC21" s="7"/>
      <c r="AD21" s="7"/>
      <c r="AE21" s="7"/>
      <c r="AF21" s="7"/>
      <c r="AG21" s="7"/>
      <c r="AH21" s="7"/>
      <c r="AI21" s="7"/>
      <c r="AJ21" s="7"/>
      <c r="AK21" s="7"/>
      <c r="AL21" s="7"/>
      <c r="AM21" s="7"/>
      <c r="AN21" s="7"/>
    </row>
    <row r="22" spans="1:40" s="6" customFormat="1" ht="14.25" customHeight="1">
      <c r="A22" s="7"/>
      <c r="B22" s="11"/>
      <c r="C22" s="71"/>
      <c r="D22" s="468"/>
      <c r="E22" s="469"/>
      <c r="F22" s="372"/>
      <c r="G22" s="372"/>
      <c r="H22" s="373"/>
      <c r="I22" s="379" t="str">
        <f t="shared" si="0"/>
        <v/>
      </c>
      <c r="J22" s="150"/>
      <c r="K22" s="234"/>
      <c r="L22" s="254">
        <f t="shared" si="1"/>
        <v>0</v>
      </c>
      <c r="M22" s="369">
        <f t="shared" si="2"/>
        <v>0</v>
      </c>
      <c r="N22" s="346">
        <f t="shared" si="3"/>
        <v>0</v>
      </c>
      <c r="O22" s="346">
        <f t="shared" si="4"/>
        <v>0</v>
      </c>
      <c r="P22" s="370">
        <f t="shared" si="5"/>
        <v>0</v>
      </c>
      <c r="Q22" s="370">
        <f t="shared" si="6"/>
        <v>0</v>
      </c>
      <c r="R22" s="371">
        <f t="shared" si="7"/>
        <v>0</v>
      </c>
      <c r="S22" s="371">
        <f t="shared" si="8"/>
        <v>0</v>
      </c>
      <c r="T22" s="255">
        <f t="shared" si="9"/>
        <v>0</v>
      </c>
      <c r="U22" s="7"/>
      <c r="V22" s="7"/>
      <c r="W22" s="7"/>
      <c r="X22" s="7"/>
      <c r="Y22" s="7"/>
      <c r="Z22" s="7"/>
      <c r="AA22" s="7"/>
      <c r="AB22" s="7"/>
      <c r="AC22" s="7"/>
      <c r="AD22" s="7"/>
      <c r="AE22" s="7"/>
      <c r="AF22" s="7"/>
      <c r="AG22" s="7"/>
      <c r="AH22" s="7"/>
      <c r="AI22" s="7"/>
      <c r="AJ22" s="7"/>
      <c r="AK22" s="7"/>
      <c r="AL22" s="7"/>
      <c r="AM22" s="7"/>
      <c r="AN22" s="7"/>
    </row>
    <row r="23" spans="1:40" s="6" customFormat="1" ht="14.25" customHeight="1">
      <c r="A23" s="7"/>
      <c r="B23" s="11"/>
      <c r="C23" s="71"/>
      <c r="D23" s="468"/>
      <c r="E23" s="469"/>
      <c r="F23" s="372"/>
      <c r="G23" s="372"/>
      <c r="H23" s="373"/>
      <c r="I23" s="379" t="str">
        <f t="shared" si="0"/>
        <v/>
      </c>
      <c r="J23" s="150"/>
      <c r="K23" s="234"/>
      <c r="L23" s="254">
        <f t="shared" si="1"/>
        <v>0</v>
      </c>
      <c r="M23" s="369">
        <f t="shared" si="2"/>
        <v>0</v>
      </c>
      <c r="N23" s="346">
        <f t="shared" si="3"/>
        <v>0</v>
      </c>
      <c r="O23" s="346">
        <f t="shared" si="4"/>
        <v>0</v>
      </c>
      <c r="P23" s="370">
        <f t="shared" si="5"/>
        <v>0</v>
      </c>
      <c r="Q23" s="370">
        <f t="shared" si="6"/>
        <v>0</v>
      </c>
      <c r="R23" s="371">
        <f t="shared" si="7"/>
        <v>0</v>
      </c>
      <c r="S23" s="371">
        <f t="shared" si="8"/>
        <v>0</v>
      </c>
      <c r="T23" s="255">
        <f t="shared" si="9"/>
        <v>0</v>
      </c>
      <c r="U23" s="7"/>
      <c r="V23" s="7"/>
      <c r="W23" s="7"/>
      <c r="X23" s="7"/>
      <c r="Y23" s="7"/>
      <c r="Z23" s="7"/>
      <c r="AA23" s="7"/>
      <c r="AB23" s="7"/>
      <c r="AC23" s="7"/>
      <c r="AD23" s="7"/>
      <c r="AE23" s="7"/>
      <c r="AF23" s="7"/>
      <c r="AG23" s="7"/>
      <c r="AH23" s="7"/>
      <c r="AI23" s="7"/>
      <c r="AJ23" s="7"/>
      <c r="AK23" s="7"/>
      <c r="AL23" s="7"/>
      <c r="AM23" s="7"/>
      <c r="AN23" s="7"/>
    </row>
    <row r="24" spans="1:40" s="6" customFormat="1" ht="14.25" customHeight="1">
      <c r="A24" s="7"/>
      <c r="B24" s="11"/>
      <c r="C24" s="71"/>
      <c r="D24" s="468"/>
      <c r="E24" s="469"/>
      <c r="F24" s="372"/>
      <c r="G24" s="372"/>
      <c r="H24" s="373"/>
      <c r="I24" s="379" t="str">
        <f t="shared" si="0"/>
        <v/>
      </c>
      <c r="J24" s="150"/>
      <c r="K24" s="234"/>
      <c r="L24" s="254">
        <f t="shared" si="1"/>
        <v>0</v>
      </c>
      <c r="M24" s="369">
        <f t="shared" si="2"/>
        <v>0</v>
      </c>
      <c r="N24" s="346">
        <f t="shared" si="3"/>
        <v>0</v>
      </c>
      <c r="O24" s="346">
        <f t="shared" si="4"/>
        <v>0</v>
      </c>
      <c r="P24" s="370">
        <f t="shared" si="5"/>
        <v>0</v>
      </c>
      <c r="Q24" s="370">
        <f t="shared" si="6"/>
        <v>0</v>
      </c>
      <c r="R24" s="371">
        <f t="shared" si="7"/>
        <v>0</v>
      </c>
      <c r="S24" s="371">
        <f t="shared" si="8"/>
        <v>0</v>
      </c>
      <c r="T24" s="255">
        <f t="shared" si="9"/>
        <v>0</v>
      </c>
      <c r="U24" s="7"/>
      <c r="V24" s="7"/>
      <c r="W24" s="7"/>
      <c r="X24" s="7"/>
      <c r="Y24" s="7"/>
      <c r="Z24" s="7"/>
      <c r="AA24" s="7"/>
      <c r="AB24" s="7"/>
      <c r="AC24" s="7"/>
      <c r="AD24" s="7"/>
      <c r="AE24" s="7"/>
      <c r="AF24" s="7"/>
      <c r="AG24" s="7"/>
      <c r="AH24" s="7"/>
      <c r="AI24" s="7"/>
      <c r="AJ24" s="7"/>
      <c r="AK24" s="7"/>
      <c r="AL24" s="7"/>
      <c r="AM24" s="7"/>
      <c r="AN24" s="7"/>
    </row>
    <row r="25" spans="1:40" s="6" customFormat="1" ht="14.25" customHeight="1">
      <c r="A25" s="7"/>
      <c r="B25" s="11"/>
      <c r="C25" s="71"/>
      <c r="D25" s="468"/>
      <c r="E25" s="469"/>
      <c r="F25" s="372"/>
      <c r="G25" s="372"/>
      <c r="H25" s="373"/>
      <c r="I25" s="379" t="str">
        <f t="shared" si="0"/>
        <v/>
      </c>
      <c r="J25" s="150"/>
      <c r="K25" s="234"/>
      <c r="L25" s="254">
        <f t="shared" si="1"/>
        <v>0</v>
      </c>
      <c r="M25" s="369">
        <f t="shared" si="2"/>
        <v>0</v>
      </c>
      <c r="N25" s="346">
        <f t="shared" si="3"/>
        <v>0</v>
      </c>
      <c r="O25" s="346">
        <f t="shared" si="4"/>
        <v>0</v>
      </c>
      <c r="P25" s="370">
        <f t="shared" si="5"/>
        <v>0</v>
      </c>
      <c r="Q25" s="370">
        <f t="shared" si="6"/>
        <v>0</v>
      </c>
      <c r="R25" s="371">
        <f t="shared" si="7"/>
        <v>0</v>
      </c>
      <c r="S25" s="371">
        <f t="shared" si="8"/>
        <v>0</v>
      </c>
      <c r="T25" s="255">
        <f t="shared" si="9"/>
        <v>0</v>
      </c>
      <c r="U25" s="7"/>
      <c r="V25" s="7"/>
      <c r="W25" s="7"/>
      <c r="X25" s="7"/>
      <c r="Y25" s="7"/>
      <c r="Z25" s="7"/>
      <c r="AA25" s="7"/>
      <c r="AB25" s="7"/>
      <c r="AC25" s="7"/>
      <c r="AD25" s="7"/>
      <c r="AE25" s="7"/>
      <c r="AF25" s="7"/>
      <c r="AG25" s="7"/>
      <c r="AH25" s="7"/>
      <c r="AI25" s="7"/>
      <c r="AJ25" s="7"/>
      <c r="AK25" s="7"/>
      <c r="AL25" s="7"/>
      <c r="AM25" s="7"/>
      <c r="AN25" s="7"/>
    </row>
    <row r="26" spans="1:40" s="6" customFormat="1" ht="14.25" customHeight="1">
      <c r="A26" s="7"/>
      <c r="B26" s="11"/>
      <c r="C26" s="71"/>
      <c r="D26" s="468"/>
      <c r="E26" s="469"/>
      <c r="F26" s="372"/>
      <c r="G26" s="372"/>
      <c r="H26" s="373"/>
      <c r="I26" s="379" t="str">
        <f t="shared" si="0"/>
        <v/>
      </c>
      <c r="J26" s="150"/>
      <c r="K26" s="234"/>
      <c r="L26" s="254">
        <f t="shared" si="1"/>
        <v>0</v>
      </c>
      <c r="M26" s="369">
        <f t="shared" si="2"/>
        <v>0</v>
      </c>
      <c r="N26" s="346">
        <f t="shared" si="3"/>
        <v>0</v>
      </c>
      <c r="O26" s="346">
        <f t="shared" si="4"/>
        <v>0</v>
      </c>
      <c r="P26" s="370">
        <f t="shared" si="5"/>
        <v>0</v>
      </c>
      <c r="Q26" s="370">
        <f t="shared" si="6"/>
        <v>0</v>
      </c>
      <c r="R26" s="371">
        <f t="shared" si="7"/>
        <v>0</v>
      </c>
      <c r="S26" s="371">
        <f t="shared" si="8"/>
        <v>0</v>
      </c>
      <c r="T26" s="255">
        <f t="shared" si="9"/>
        <v>0</v>
      </c>
      <c r="U26" s="7"/>
      <c r="V26" s="7"/>
      <c r="W26" s="7"/>
      <c r="X26" s="7"/>
      <c r="Y26" s="7"/>
      <c r="Z26" s="7"/>
      <c r="AA26" s="7"/>
      <c r="AB26" s="7"/>
      <c r="AC26" s="7"/>
      <c r="AD26" s="7"/>
      <c r="AE26" s="7"/>
      <c r="AF26" s="7"/>
      <c r="AG26" s="7"/>
      <c r="AH26" s="7"/>
      <c r="AI26" s="7"/>
      <c r="AJ26" s="7"/>
      <c r="AK26" s="7"/>
      <c r="AL26" s="7"/>
      <c r="AM26" s="7"/>
      <c r="AN26" s="7"/>
    </row>
    <row r="27" spans="1:40" s="6" customFormat="1" ht="14.25" customHeight="1" thickBot="1">
      <c r="A27" s="7"/>
      <c r="B27" s="11"/>
      <c r="C27" s="71"/>
      <c r="D27" s="468"/>
      <c r="E27" s="469"/>
      <c r="F27" s="372"/>
      <c r="G27" s="372"/>
      <c r="H27" s="373"/>
      <c r="I27" s="379" t="str">
        <f t="shared" si="0"/>
        <v/>
      </c>
      <c r="J27" s="150"/>
      <c r="K27" s="234"/>
      <c r="L27" s="256">
        <f t="shared" si="1"/>
        <v>0</v>
      </c>
      <c r="M27" s="257">
        <f t="shared" si="2"/>
        <v>0</v>
      </c>
      <c r="N27" s="347">
        <f t="shared" si="3"/>
        <v>0</v>
      </c>
      <c r="O27" s="347">
        <f t="shared" si="4"/>
        <v>0</v>
      </c>
      <c r="P27" s="247">
        <f t="shared" si="5"/>
        <v>0</v>
      </c>
      <c r="Q27" s="247">
        <f t="shared" si="6"/>
        <v>0</v>
      </c>
      <c r="R27" s="245">
        <f t="shared" si="7"/>
        <v>0</v>
      </c>
      <c r="S27" s="245">
        <f t="shared" si="8"/>
        <v>0</v>
      </c>
      <c r="T27" s="258">
        <f t="shared" si="9"/>
        <v>0</v>
      </c>
      <c r="U27" s="7"/>
      <c r="V27" s="7"/>
      <c r="W27" s="7"/>
      <c r="X27" s="7"/>
      <c r="Y27" s="7"/>
      <c r="Z27" s="7"/>
      <c r="AA27" s="7"/>
      <c r="AB27" s="7"/>
      <c r="AC27" s="7"/>
      <c r="AD27" s="7"/>
      <c r="AE27" s="7"/>
      <c r="AF27" s="7"/>
      <c r="AG27" s="7"/>
      <c r="AH27" s="7"/>
      <c r="AI27" s="7"/>
      <c r="AJ27" s="7"/>
      <c r="AK27" s="7"/>
      <c r="AL27" s="7"/>
      <c r="AM27" s="7"/>
      <c r="AN27" s="7"/>
    </row>
    <row r="28" spans="1:40" s="6" customFormat="1" ht="14.25" customHeight="1" thickBot="1">
      <c r="A28" s="7"/>
      <c r="B28" s="11"/>
      <c r="C28" s="71"/>
      <c r="D28" s="382" t="str">
        <f>IF(OR(H28&gt;D13*1.1,H28&lt;D13/1.1),"Gewicht Zusammensetzung prüfen: Abweichung &gt;10%",DeklGewichtOK)</f>
        <v>Deklariertes Gesamtgewicht OK</v>
      </c>
      <c r="E28" s="147"/>
      <c r="F28" s="71"/>
      <c r="G28" s="71"/>
      <c r="H28" s="260">
        <f>SUMIF(I$16:I$27,"kg",H$16:H$27)</f>
        <v>0</v>
      </c>
      <c r="I28" s="379" t="s">
        <v>31</v>
      </c>
      <c r="J28" s="150"/>
      <c r="K28" s="239" t="s">
        <v>165</v>
      </c>
      <c r="L28" s="420" t="s">
        <v>160</v>
      </c>
      <c r="M28" s="421"/>
      <c r="N28" s="421" t="s">
        <v>161</v>
      </c>
      <c r="O28" s="421"/>
      <c r="P28" s="421" t="s">
        <v>161</v>
      </c>
      <c r="Q28" s="421"/>
      <c r="R28" s="421" t="s">
        <v>162</v>
      </c>
      <c r="S28" s="421"/>
      <c r="T28" s="421" t="s">
        <v>401</v>
      </c>
      <c r="U28" s="7"/>
      <c r="V28" s="7"/>
      <c r="W28" s="7"/>
      <c r="X28" s="7"/>
      <c r="Y28" s="7"/>
      <c r="Z28" s="7"/>
      <c r="AA28" s="7"/>
      <c r="AB28" s="7"/>
      <c r="AC28" s="7"/>
      <c r="AD28" s="7"/>
      <c r="AE28" s="7"/>
      <c r="AF28" s="7"/>
      <c r="AG28" s="7"/>
      <c r="AH28" s="7"/>
      <c r="AI28" s="7"/>
      <c r="AJ28" s="7"/>
      <c r="AK28" s="7"/>
      <c r="AL28" s="7"/>
      <c r="AM28" s="7"/>
      <c r="AN28" s="7"/>
    </row>
    <row r="29" spans="1:40" s="6" customFormat="1" ht="14.25" customHeight="1">
      <c r="A29" s="7"/>
      <c r="B29" s="348"/>
      <c r="C29" s="447"/>
      <c r="D29" s="448" t="s">
        <v>56</v>
      </c>
      <c r="E29" s="449"/>
      <c r="F29" s="448" t="s">
        <v>415</v>
      </c>
      <c r="G29" s="448"/>
      <c r="H29" s="450" t="s">
        <v>414</v>
      </c>
      <c r="I29" s="448" t="s">
        <v>158</v>
      </c>
      <c r="J29" s="150"/>
      <c r="K29" s="342"/>
      <c r="L29" s="237"/>
      <c r="M29" s="343"/>
      <c r="N29" s="343"/>
      <c r="O29" s="343"/>
      <c r="P29" s="343"/>
      <c r="Q29" s="343"/>
      <c r="R29" s="343"/>
      <c r="S29" s="343"/>
      <c r="T29" s="343"/>
      <c r="U29" s="7"/>
      <c r="V29" s="7"/>
      <c r="W29" s="7"/>
      <c r="X29" s="7"/>
      <c r="Y29" s="7"/>
      <c r="Z29" s="7"/>
      <c r="AA29" s="7"/>
      <c r="AB29" s="7"/>
      <c r="AC29" s="7"/>
      <c r="AD29" s="7"/>
      <c r="AE29" s="7"/>
      <c r="AF29" s="7"/>
      <c r="AG29" s="7"/>
      <c r="AH29" s="7"/>
      <c r="AI29" s="7"/>
      <c r="AJ29" s="7"/>
      <c r="AK29" s="7"/>
      <c r="AL29" s="7"/>
      <c r="AM29" s="7"/>
      <c r="AN29" s="7"/>
    </row>
    <row r="30" spans="1:40" s="6" customFormat="1" ht="14.25" customHeight="1">
      <c r="A30" s="7"/>
      <c r="B30" s="11"/>
      <c r="C30" s="10" t="s">
        <v>402</v>
      </c>
      <c r="D30" s="468"/>
      <c r="E30" s="469"/>
      <c r="F30" s="472"/>
      <c r="G30" s="473"/>
      <c r="H30" s="381"/>
      <c r="I30" s="379" t="str">
        <f>IF(ISBLANK(H30),"","km")</f>
        <v/>
      </c>
      <c r="J30" s="150"/>
      <c r="K30" s="234"/>
      <c r="L30" s="254">
        <f>IFERROR(VLOOKUP($F30,MxTransporte,4,FALSE)*$H30*($H$28/1000)*$H$13,0)</f>
        <v>0</v>
      </c>
      <c r="M30" s="10"/>
      <c r="N30" s="246">
        <f>IFERROR(VLOOKUP($F30,MxTransporte,12,FALSE)*$H30*($H$28/1000)*$H$13,0)</f>
        <v>0</v>
      </c>
      <c r="O30" s="10"/>
      <c r="P30" s="246">
        <f>IFERROR(VLOOKUP($F30,MxTransporte,16,FALSE)*$H30*($H$28/1000)*$H$13,0)</f>
        <v>0</v>
      </c>
      <c r="Q30" s="10"/>
      <c r="R30" s="244">
        <f>IFERROR(VLOOKUP($F30,MxTransporte,20,FALSE)*$H30*($H$28/1000)*$H$13,0)</f>
        <v>0</v>
      </c>
      <c r="S30" s="10"/>
      <c r="T30" s="10"/>
      <c r="U30" s="7"/>
      <c r="V30" s="7"/>
      <c r="W30" s="7"/>
      <c r="X30" s="7"/>
      <c r="Y30" s="7"/>
      <c r="Z30" s="7"/>
      <c r="AA30" s="7"/>
      <c r="AB30" s="7"/>
      <c r="AC30" s="7"/>
      <c r="AD30" s="7"/>
      <c r="AE30" s="7"/>
      <c r="AF30" s="7"/>
      <c r="AG30" s="7"/>
      <c r="AH30" s="7"/>
      <c r="AI30" s="7"/>
      <c r="AJ30" s="7"/>
      <c r="AK30" s="7"/>
      <c r="AL30" s="7"/>
      <c r="AM30" s="7"/>
      <c r="AN30" s="7"/>
    </row>
    <row r="31" spans="1:40" s="6" customFormat="1" ht="14.25" customHeight="1">
      <c r="A31" s="7"/>
      <c r="B31" s="11"/>
      <c r="C31" s="145" t="s">
        <v>403</v>
      </c>
      <c r="D31" s="468"/>
      <c r="E31" s="469"/>
      <c r="F31" s="472"/>
      <c r="G31" s="473"/>
      <c r="H31" s="381"/>
      <c r="I31" s="379" t="str">
        <f t="shared" ref="I31:I32" si="10">IF(ISBLANK(H31),"","km")</f>
        <v/>
      </c>
      <c r="J31" s="150"/>
      <c r="K31" s="234"/>
      <c r="L31" s="254">
        <f>IFERROR(VLOOKUP($F31,MxTransporte,4,FALSE)*$H31*($H$28/1000)*$H$13,0)</f>
        <v>0</v>
      </c>
      <c r="M31" s="10"/>
      <c r="N31" s="246">
        <f>IFERROR(VLOOKUP($F31,MxTransporte,12,FALSE)*$H31*($H$28/1000)*$H$13,0)</f>
        <v>0</v>
      </c>
      <c r="O31" s="10"/>
      <c r="P31" s="246">
        <f>IFERROR(VLOOKUP($F31,MxTransporte,16,FALSE)*$H31*($H$28/1000)*$H$13,0)</f>
        <v>0</v>
      </c>
      <c r="Q31" s="10"/>
      <c r="R31" s="244">
        <f>IFERROR(VLOOKUP($F31,MxTransporte,20,FALSE)*$H31*($H$28/1000)*$H$13,0)</f>
        <v>0</v>
      </c>
      <c r="S31" s="10"/>
      <c r="T31" s="10"/>
      <c r="U31" s="7"/>
      <c r="V31" s="7"/>
      <c r="W31" s="7"/>
      <c r="X31" s="7"/>
      <c r="Y31" s="7"/>
      <c r="Z31" s="7"/>
      <c r="AA31" s="7"/>
      <c r="AB31" s="7"/>
      <c r="AC31" s="7"/>
      <c r="AD31" s="7"/>
      <c r="AE31" s="7"/>
      <c r="AF31" s="7"/>
      <c r="AG31" s="7"/>
      <c r="AH31" s="7"/>
      <c r="AI31" s="7"/>
      <c r="AJ31" s="7"/>
      <c r="AK31" s="7"/>
      <c r="AL31" s="7"/>
      <c r="AM31" s="7"/>
      <c r="AN31" s="7"/>
    </row>
    <row r="32" spans="1:40" s="6" customFormat="1" ht="14.25" customHeight="1" thickBot="1">
      <c r="A32" s="7"/>
      <c r="B32" s="10"/>
      <c r="C32" s="10"/>
      <c r="D32" s="468"/>
      <c r="E32" s="469"/>
      <c r="F32" s="472"/>
      <c r="G32" s="473"/>
      <c r="H32" s="381"/>
      <c r="I32" s="379" t="str">
        <f t="shared" si="10"/>
        <v/>
      </c>
      <c r="J32" s="7"/>
      <c r="K32" s="234"/>
      <c r="L32" s="254">
        <f>IFERROR(VLOOKUP($F32,MxTransporte,4,FALSE)*$H32*($H$28/1000)*$H$13,0)</f>
        <v>0</v>
      </c>
      <c r="M32" s="10"/>
      <c r="N32" s="246">
        <f>IFERROR(VLOOKUP($F32,MxTransporte,12,FALSE)*$H32*($H$28/1000)*$H$13,0)</f>
        <v>0</v>
      </c>
      <c r="O32" s="10"/>
      <c r="P32" s="246">
        <f>IFERROR(VLOOKUP($F32,MxTransporte,16,FALSE)*$H32*($H$28/1000)*$H$13,0)</f>
        <v>0</v>
      </c>
      <c r="Q32" s="10"/>
      <c r="R32" s="244">
        <f>IFERROR(VLOOKUP($F32,MxTransporte,20,FALSE)*$H32*($H$28/1000)*$H$13,0)</f>
        <v>0</v>
      </c>
      <c r="S32" s="10"/>
      <c r="T32" s="10"/>
      <c r="U32" s="7"/>
      <c r="V32" s="7"/>
      <c r="W32" s="7"/>
      <c r="X32" s="7"/>
      <c r="Y32" s="7"/>
      <c r="Z32" s="7"/>
      <c r="AA32" s="7"/>
      <c r="AB32" s="7"/>
      <c r="AC32" s="7"/>
      <c r="AD32" s="7"/>
      <c r="AE32" s="7"/>
      <c r="AF32" s="7"/>
      <c r="AG32" s="7"/>
      <c r="AH32" s="7"/>
      <c r="AI32" s="7"/>
      <c r="AJ32" s="7"/>
      <c r="AK32" s="7"/>
      <c r="AL32" s="7"/>
      <c r="AM32" s="7"/>
      <c r="AN32" s="7"/>
    </row>
    <row r="33" spans="1:40" s="6" customFormat="1" ht="13.5" customHeight="1" thickBot="1">
      <c r="A33" s="7"/>
      <c r="B33" s="171"/>
      <c r="C33" s="171"/>
      <c r="D33" s="171"/>
      <c r="E33" s="171"/>
      <c r="F33" s="171"/>
      <c r="G33" s="171"/>
      <c r="H33" s="171"/>
      <c r="I33" s="171"/>
      <c r="J33" s="7"/>
      <c r="K33" s="234"/>
      <c r="L33" s="433">
        <f>IF($T$33=TRUE,Konstanten!C$36*$H28/1000*DefTransD,SUM(L30:L32))</f>
        <v>0</v>
      </c>
      <c r="M33" s="434"/>
      <c r="N33" s="435">
        <f>IF($T$33=TRUE,Konstanten!D$36*$H28/1000*DefTransD,SUM(N30:N32))</f>
        <v>0</v>
      </c>
      <c r="O33" s="435"/>
      <c r="P33" s="435">
        <f>IF($T$33=TRUE,Konstanten!E$36*$H28/1000*DefTransD,SUM(P30:P32))</f>
        <v>0</v>
      </c>
      <c r="Q33" s="435"/>
      <c r="R33" s="435">
        <f>IF($T$33=TRUE,Konstanten!F$36*$H28/1000*DefTransD,SUM(R30:R32))</f>
        <v>0</v>
      </c>
      <c r="S33" s="434"/>
      <c r="T33" s="442" t="b">
        <v>1</v>
      </c>
      <c r="U33" s="7"/>
      <c r="V33" s="7"/>
      <c r="W33" s="7"/>
      <c r="X33" s="7"/>
      <c r="Y33" s="7"/>
      <c r="Z33" s="7"/>
      <c r="AA33" s="7"/>
      <c r="AB33" s="7"/>
      <c r="AC33" s="7"/>
      <c r="AD33" s="7"/>
      <c r="AE33" s="7"/>
      <c r="AF33" s="7"/>
      <c r="AG33" s="7"/>
      <c r="AH33" s="7"/>
      <c r="AI33" s="7"/>
      <c r="AJ33" s="7"/>
      <c r="AK33" s="7"/>
      <c r="AL33" s="7"/>
      <c r="AM33" s="7"/>
      <c r="AN33" s="7"/>
    </row>
    <row r="34" spans="1:40" s="6" customFormat="1" ht="14.25" customHeight="1" thickBot="1">
      <c r="A34" s="7"/>
      <c r="B34" s="300"/>
      <c r="C34" s="300"/>
      <c r="D34" s="374" t="s">
        <v>56</v>
      </c>
      <c r="E34" s="374"/>
      <c r="F34" s="374" t="s">
        <v>325</v>
      </c>
      <c r="G34" s="374"/>
      <c r="H34" s="375" t="s">
        <v>324</v>
      </c>
      <c r="I34" s="374" t="s">
        <v>158</v>
      </c>
      <c r="J34" s="7"/>
      <c r="K34" s="239" t="s">
        <v>238</v>
      </c>
      <c r="L34" s="420" t="s">
        <v>160</v>
      </c>
      <c r="M34" s="421"/>
      <c r="N34" s="421" t="s">
        <v>161</v>
      </c>
      <c r="O34" s="421"/>
      <c r="P34" s="421" t="s">
        <v>161</v>
      </c>
      <c r="Q34" s="421"/>
      <c r="R34" s="421" t="s">
        <v>162</v>
      </c>
      <c r="S34" s="421"/>
      <c r="T34" s="421" t="s">
        <v>328</v>
      </c>
      <c r="U34" s="7"/>
      <c r="V34" s="7"/>
      <c r="W34" s="7"/>
      <c r="X34" s="7"/>
      <c r="Y34" s="7"/>
      <c r="Z34" s="7"/>
      <c r="AA34" s="7"/>
      <c r="AB34" s="7"/>
      <c r="AC34" s="7"/>
      <c r="AD34" s="7"/>
      <c r="AE34" s="7"/>
      <c r="AF34" s="7"/>
      <c r="AG34" s="7"/>
      <c r="AH34" s="7"/>
      <c r="AI34" s="7"/>
      <c r="AJ34" s="7"/>
      <c r="AK34" s="7"/>
      <c r="AL34" s="7"/>
      <c r="AM34" s="7"/>
      <c r="AN34" s="7"/>
    </row>
    <row r="35" spans="1:40" s="6" customFormat="1" ht="13.5" customHeight="1">
      <c r="A35" s="7"/>
      <c r="B35" s="300"/>
      <c r="C35" s="305" t="s">
        <v>336</v>
      </c>
      <c r="D35" s="468"/>
      <c r="E35" s="469"/>
      <c r="F35" s="472"/>
      <c r="G35" s="473"/>
      <c r="H35" s="376"/>
      <c r="I35" s="379" t="str">
        <f>IF(ISBLANK(H35),"","kWh")</f>
        <v/>
      </c>
      <c r="J35" s="7"/>
      <c r="K35" s="342" t="s">
        <v>355</v>
      </c>
      <c r="L35" s="254">
        <f>IFERROR(VLOOKUP($F35,MxEnergieS,4,FALSE)*($H35/$H$38)*$D$13*Anzahl*$P$45,0)</f>
        <v>0</v>
      </c>
      <c r="M35" s="369"/>
      <c r="N35" s="418">
        <f>IFERROR(VLOOKUP($F35,MxEnergieS,6,FALSE)*($H35/$H$38)*$D$13*Anzahl*$P$45,0)</f>
        <v>0</v>
      </c>
      <c r="O35" s="369"/>
      <c r="P35" s="418">
        <f>IFERROR(VLOOKUP($F35,MxEnergieS,7,FALSE)*($H35/$H$38)*$D$13*Anzahl*$P$45,0)</f>
        <v>0</v>
      </c>
      <c r="Q35" s="369"/>
      <c r="R35" s="419">
        <f>IFERROR(VLOOKUP($F35,MxEnergieS,9,FALSE)*($H35/$H$38)*$D$13*Anzahl*$P$45,0)</f>
        <v>0</v>
      </c>
      <c r="S35" s="343"/>
      <c r="T35" s="10"/>
      <c r="U35" s="7"/>
      <c r="V35" s="7"/>
      <c r="W35" s="7"/>
      <c r="X35" s="7"/>
      <c r="Y35" s="7"/>
      <c r="Z35" s="7"/>
      <c r="AA35" s="7"/>
      <c r="AB35" s="7"/>
      <c r="AC35" s="7"/>
      <c r="AD35" s="7"/>
      <c r="AE35" s="7"/>
      <c r="AF35" s="7"/>
      <c r="AG35" s="7"/>
      <c r="AH35" s="7"/>
      <c r="AI35" s="7"/>
      <c r="AJ35" s="7"/>
      <c r="AK35" s="7"/>
      <c r="AL35" s="7"/>
      <c r="AM35" s="7"/>
      <c r="AN35" s="7"/>
    </row>
    <row r="36" spans="1:40" s="6" customFormat="1" ht="13.5" customHeight="1">
      <c r="A36" s="7"/>
      <c r="B36" s="300"/>
      <c r="C36" s="300"/>
      <c r="D36" s="468"/>
      <c r="E36" s="469"/>
      <c r="F36" s="472"/>
      <c r="G36" s="473"/>
      <c r="H36" s="376"/>
      <c r="I36" s="379" t="str">
        <f t="shared" ref="I36:I37" si="11">IF(ISBLANK(H36),"","kWh")</f>
        <v/>
      </c>
      <c r="J36" s="7"/>
      <c r="K36" s="10"/>
      <c r="L36" s="254">
        <f>IFERROR(VLOOKUP($F36,MxEnergieS,4,FALSE)*($H36/$H$38)*$D$13*Anzahl*$P$45,0)</f>
        <v>0</v>
      </c>
      <c r="M36" s="369"/>
      <c r="N36" s="418">
        <f>IFERROR(VLOOKUP($F36,MxEnergieS,6,FALSE)*($H36/$H$38)*$D$13*Anzahl*$P$45,0)</f>
        <v>0</v>
      </c>
      <c r="O36" s="369"/>
      <c r="P36" s="418">
        <f>IFERROR(VLOOKUP($F36,MxEnergieS,7,FALSE)*($H36/$H$38)*$D$13*Anzahl*$P$45,0)</f>
        <v>0</v>
      </c>
      <c r="Q36" s="369"/>
      <c r="R36" s="419">
        <f>IFERROR(VLOOKUP($F36,MxEnergieS,9,FALSE)*($H36/$H$38)*$D$13*Anzahl*$P$45,0)</f>
        <v>0</v>
      </c>
      <c r="S36" s="343"/>
      <c r="T36" s="343"/>
      <c r="U36" s="7"/>
      <c r="V36" s="7"/>
      <c r="W36" s="7"/>
      <c r="X36" s="7"/>
      <c r="Y36" s="7"/>
      <c r="Z36" s="7"/>
      <c r="AA36" s="7"/>
      <c r="AB36" s="7"/>
      <c r="AC36" s="7"/>
      <c r="AD36" s="7"/>
      <c r="AE36" s="7"/>
      <c r="AF36" s="7"/>
      <c r="AG36" s="7"/>
      <c r="AH36" s="7"/>
      <c r="AI36" s="7"/>
      <c r="AJ36" s="7"/>
      <c r="AK36" s="7"/>
      <c r="AL36" s="7"/>
      <c r="AM36" s="7"/>
      <c r="AN36" s="7"/>
    </row>
    <row r="37" spans="1:40" s="6" customFormat="1" ht="13.5" customHeight="1" thickBot="1">
      <c r="A37" s="7"/>
      <c r="B37" s="300"/>
      <c r="C37" s="300"/>
      <c r="D37" s="468"/>
      <c r="E37" s="469"/>
      <c r="F37" s="472"/>
      <c r="G37" s="473"/>
      <c r="H37" s="376"/>
      <c r="I37" s="379" t="str">
        <f t="shared" si="11"/>
        <v/>
      </c>
      <c r="J37" s="7"/>
      <c r="K37" s="10"/>
      <c r="L37" s="254">
        <f>IFERROR(VLOOKUP($F37,MxEnergieS,4,FALSE)*($H37/$H$38)*$D$13*Anzahl*$P$45,0)</f>
        <v>0</v>
      </c>
      <c r="M37" s="369"/>
      <c r="N37" s="418">
        <f>IFERROR(VLOOKUP($F37,MxEnergieS,6,FALSE)*($H37/$H$38)*$D$13*Anzahl*$P$45,0)</f>
        <v>0</v>
      </c>
      <c r="O37" s="369"/>
      <c r="P37" s="418">
        <f>IFERROR(VLOOKUP($F37,MxEnergieS,7,FALSE)*($H37/$H$38)*$D$13*Anzahl*$P$45,0)</f>
        <v>0</v>
      </c>
      <c r="Q37" s="369"/>
      <c r="R37" s="419">
        <f>IFERROR(VLOOKUP($F37,MxEnergieS,9,FALSE)*($H37/$H$38)*$D$13*Anzahl*$P$45,0)</f>
        <v>0</v>
      </c>
      <c r="S37" s="343"/>
      <c r="T37" s="343"/>
      <c r="U37" s="7"/>
      <c r="V37" s="7"/>
      <c r="W37" s="7"/>
      <c r="X37" s="7"/>
      <c r="Y37" s="7"/>
      <c r="Z37" s="7"/>
      <c r="AA37" s="7"/>
      <c r="AB37" s="7"/>
      <c r="AC37" s="7"/>
      <c r="AD37" s="7"/>
      <c r="AE37" s="7"/>
      <c r="AF37" s="7"/>
      <c r="AG37" s="7"/>
      <c r="AH37" s="7"/>
      <c r="AI37" s="7"/>
      <c r="AJ37" s="7"/>
      <c r="AK37" s="7"/>
      <c r="AL37" s="7"/>
      <c r="AM37" s="7"/>
      <c r="AN37" s="7"/>
    </row>
    <row r="38" spans="1:40" s="6" customFormat="1" ht="13.5" customHeight="1" thickBot="1">
      <c r="A38" s="7"/>
      <c r="B38" s="300"/>
      <c r="C38" s="300"/>
      <c r="D38" s="352" t="str">
        <f>IF(T38=TRUE,"Übernahme Werte aus Blatt Start",IF(OR(H38&gt;1.01,H38&lt;0.99),DeklAnteilNotOK,DeklAnteilOK))</f>
        <v>Übernahme Werte aus Blatt Start</v>
      </c>
      <c r="E38" s="147"/>
      <c r="F38" s="300"/>
      <c r="G38" s="300"/>
      <c r="H38" s="383" t="str">
        <f>IF(T38=TRUE,"",SUM(H35:H37))</f>
        <v/>
      </c>
      <c r="I38" s="380"/>
      <c r="J38" s="7"/>
      <c r="K38" s="422"/>
      <c r="L38" s="426">
        <f>IF($T$38=TRUE,L$9*$P$45*$D$13*Anzahl,SUM(L$35:L$37))</f>
        <v>0</v>
      </c>
      <c r="M38" s="428"/>
      <c r="N38" s="427">
        <f>IF($T$38=TRUE,N$9*$P$45*$D$13*Anzahl,SUM(N$35:N$37))</f>
        <v>0</v>
      </c>
      <c r="O38" s="428"/>
      <c r="P38" s="427">
        <f>IF($T$38=TRUE,P$9*$P$45*$D$13*Anzahl,SUM(P$35:P$37))</f>
        <v>0</v>
      </c>
      <c r="Q38" s="428"/>
      <c r="R38" s="429">
        <f>IF($T$38=TRUE,R$9*$P$45*$D$13*Anzahl,SUM(R$35:R$37))</f>
        <v>0</v>
      </c>
      <c r="S38" s="421"/>
      <c r="T38" s="442" t="b">
        <v>1</v>
      </c>
      <c r="U38" s="7"/>
      <c r="V38" s="7"/>
      <c r="W38" s="7"/>
      <c r="X38" s="7"/>
      <c r="Y38" s="7"/>
      <c r="Z38" s="7"/>
      <c r="AA38" s="7"/>
      <c r="AB38" s="7"/>
      <c r="AC38" s="7"/>
      <c r="AD38" s="7"/>
      <c r="AE38" s="7"/>
      <c r="AF38" s="7"/>
      <c r="AG38" s="7"/>
      <c r="AH38" s="7"/>
      <c r="AI38" s="7"/>
      <c r="AJ38" s="7"/>
      <c r="AK38" s="7"/>
      <c r="AL38" s="7"/>
      <c r="AM38" s="7"/>
      <c r="AN38" s="7"/>
    </row>
    <row r="39" spans="1:40" s="6" customFormat="1" ht="13.5" customHeight="1">
      <c r="A39" s="7"/>
      <c r="B39" s="300"/>
      <c r="C39" s="305" t="s">
        <v>337</v>
      </c>
      <c r="D39" s="468"/>
      <c r="E39" s="469"/>
      <c r="F39" s="472"/>
      <c r="G39" s="473"/>
      <c r="H39" s="376"/>
      <c r="I39" s="379" t="str">
        <f>IF(ISBLANK(H39),"","kWh")</f>
        <v/>
      </c>
      <c r="J39" s="7"/>
      <c r="K39" s="239" t="s">
        <v>238</v>
      </c>
      <c r="L39" s="254">
        <f>IFERROR(VLOOKUP($F39,MxEnergieW,4,FALSE)*($H39/$H$42)*$D$13*Anzahl*$R$45,0)</f>
        <v>0</v>
      </c>
      <c r="M39" s="343"/>
      <c r="N39" s="423">
        <f>IFERROR(VLOOKUP($F39,MxEnergieW,6,FALSE)*($H39/$H$42)*$D$13*Anzahl*$R$45,0)</f>
        <v>0</v>
      </c>
      <c r="O39" s="424"/>
      <c r="P39" s="423">
        <f>IFERROR(VLOOKUP($F39,MxEnergieW,7,FALSE)*($H39/$H$42)*$D$13*Anzahl*$R$45,0)</f>
        <v>0</v>
      </c>
      <c r="Q39" s="343"/>
      <c r="R39" s="425">
        <f>IFERROR(VLOOKUP($F39,MxEnergieW,9,FALSE)*($H39/$H$42)*$D$13*Anzahl*$R$45,0)</f>
        <v>0</v>
      </c>
      <c r="S39" s="343"/>
      <c r="T39" s="10"/>
      <c r="U39" s="7"/>
      <c r="V39" s="7"/>
      <c r="W39" s="7"/>
      <c r="X39" s="7"/>
      <c r="Y39" s="7"/>
      <c r="Z39" s="7"/>
      <c r="AA39" s="7"/>
      <c r="AB39" s="7"/>
      <c r="AC39" s="7"/>
      <c r="AD39" s="7"/>
      <c r="AE39" s="7"/>
      <c r="AF39" s="7"/>
      <c r="AG39" s="7"/>
      <c r="AH39" s="7"/>
      <c r="AI39" s="7"/>
      <c r="AJ39" s="7"/>
      <c r="AK39" s="7"/>
      <c r="AL39" s="7"/>
      <c r="AM39" s="7"/>
      <c r="AN39" s="7"/>
    </row>
    <row r="40" spans="1:40" s="6" customFormat="1" ht="13.5" customHeight="1">
      <c r="A40" s="7"/>
      <c r="B40" s="300"/>
      <c r="C40" s="300"/>
      <c r="D40" s="468"/>
      <c r="E40" s="469"/>
      <c r="F40" s="472"/>
      <c r="G40" s="473"/>
      <c r="H40" s="376"/>
      <c r="I40" s="379" t="str">
        <f t="shared" ref="I40:I41" si="12">IF(ISBLANK(H40),"","kWh")</f>
        <v/>
      </c>
      <c r="J40" s="7"/>
      <c r="K40" s="145" t="s">
        <v>356</v>
      </c>
      <c r="L40" s="254">
        <f>IFERROR(VLOOKUP($F40,MxEnergieW,4,FALSE)*($H40/$H$42)*$D$13*Anzahl*$R$45,0)</f>
        <v>0</v>
      </c>
      <c r="M40" s="343"/>
      <c r="N40" s="423">
        <f>IFERROR(VLOOKUP($F40,MxEnergieW,6,FALSE)*($H40/$H$42)*$D$13*Anzahl*$R$45,0)</f>
        <v>0</v>
      </c>
      <c r="O40" s="424"/>
      <c r="P40" s="423">
        <f>IFERROR(VLOOKUP($F40,MxEnergieW,7,FALSE)*($H40/$H$42)*$D$13*Anzahl*$R$45,0)</f>
        <v>0</v>
      </c>
      <c r="Q40" s="343"/>
      <c r="R40" s="425">
        <f>IFERROR(VLOOKUP($F40,MxEnergieW,9,FALSE)*($H40/$H$42)*$D$13*Anzahl*$R$45,0)</f>
        <v>0</v>
      </c>
      <c r="S40" s="343"/>
      <c r="T40" s="343"/>
      <c r="U40" s="7"/>
      <c r="V40" s="7"/>
      <c r="W40" s="7"/>
      <c r="X40" s="7"/>
      <c r="Y40" s="7"/>
      <c r="Z40" s="7"/>
      <c r="AA40" s="7"/>
      <c r="AB40" s="7"/>
      <c r="AC40" s="7"/>
      <c r="AD40" s="7"/>
      <c r="AE40" s="7"/>
      <c r="AF40" s="7"/>
      <c r="AG40" s="7"/>
      <c r="AH40" s="7"/>
      <c r="AI40" s="7"/>
      <c r="AJ40" s="7"/>
      <c r="AK40" s="7"/>
      <c r="AL40" s="7"/>
      <c r="AM40" s="7"/>
      <c r="AN40" s="7"/>
    </row>
    <row r="41" spans="1:40" s="6" customFormat="1" ht="13.5" customHeight="1" thickBot="1">
      <c r="A41" s="7"/>
      <c r="B41" s="300"/>
      <c r="C41" s="300"/>
      <c r="D41" s="468"/>
      <c r="E41" s="469"/>
      <c r="F41" s="472"/>
      <c r="G41" s="473"/>
      <c r="H41" s="376"/>
      <c r="I41" s="379" t="str">
        <f t="shared" si="12"/>
        <v/>
      </c>
      <c r="J41" s="7"/>
      <c r="K41" s="10"/>
      <c r="L41" s="254">
        <f>IFERROR(VLOOKUP($F41,MxEnergieW,4,FALSE)*($H41/$H$42)*$D$13*Anzahl*$R$45,0)</f>
        <v>0</v>
      </c>
      <c r="M41" s="343"/>
      <c r="N41" s="423">
        <f>IFERROR(VLOOKUP($F41,MxEnergieW,6,FALSE)*($H41/$H$42)*$D$13*Anzahl*$R$45,0)</f>
        <v>0</v>
      </c>
      <c r="O41" s="424"/>
      <c r="P41" s="423">
        <f>IFERROR(VLOOKUP($F41,MxEnergieW,7,FALSE)*($H41/$H$42)*$D$13*Anzahl*$R$45,0)</f>
        <v>0</v>
      </c>
      <c r="Q41" s="343"/>
      <c r="R41" s="425">
        <f>IFERROR(VLOOKUP($F41,MxEnergieW,9,FALSE)*($H41/$H$42)*$D$13*Anzahl*$R$45,0)</f>
        <v>0</v>
      </c>
      <c r="S41" s="343"/>
      <c r="T41" s="343"/>
      <c r="U41" s="7"/>
      <c r="V41" s="7"/>
      <c r="W41" s="7"/>
      <c r="X41" s="7"/>
      <c r="Y41" s="7"/>
      <c r="Z41" s="7"/>
      <c r="AA41" s="7"/>
      <c r="AB41" s="7"/>
      <c r="AC41" s="7"/>
      <c r="AD41" s="7"/>
      <c r="AE41" s="7"/>
      <c r="AF41" s="7"/>
      <c r="AG41" s="7"/>
      <c r="AH41" s="7"/>
      <c r="AI41" s="7"/>
      <c r="AJ41" s="7"/>
      <c r="AK41" s="7"/>
      <c r="AL41" s="7"/>
      <c r="AM41" s="7"/>
      <c r="AN41" s="7"/>
    </row>
    <row r="42" spans="1:40" s="6" customFormat="1" ht="13.5" customHeight="1" thickBot="1">
      <c r="A42" s="7"/>
      <c r="B42" s="300"/>
      <c r="C42" s="300"/>
      <c r="D42" s="352" t="str">
        <f>IF(T42=TRUE,"Übernahme Werte aus Blatt Start",IF(OR(H42&gt;1.01,H42&lt;0.99),DeklAnteilNotOK,DeklAnteilOK))</f>
        <v>Übernahme Werte aus Blatt Start</v>
      </c>
      <c r="E42" s="147"/>
      <c r="F42" s="300"/>
      <c r="G42" s="300"/>
      <c r="H42" s="383" t="str">
        <f>IF(T42=TRUE,"",SUM(H39:H41))</f>
        <v/>
      </c>
      <c r="I42" s="300"/>
      <c r="J42" s="7"/>
      <c r="K42" s="342"/>
      <c r="L42" s="426">
        <f>IF($T$42=TRUE,L$11*R45*D13*Anzahl,SUM(L$39:L$41))</f>
        <v>0</v>
      </c>
      <c r="M42" s="428"/>
      <c r="N42" s="427">
        <f>IF($T$42=TRUE,N$11*R45*D13*Anzahl,SUM(N$39:N$41))</f>
        <v>0</v>
      </c>
      <c r="O42" s="428"/>
      <c r="P42" s="427">
        <f>IF($T$42=TRUE,P$11*R45*D13*Anzahl,SUM(P$39:P$41))</f>
        <v>0</v>
      </c>
      <c r="Q42" s="428"/>
      <c r="R42" s="429">
        <f>IF($T$42=TRUE,R$11*R45*D13*Anzahl,SUM(R$39:R$41))</f>
        <v>0</v>
      </c>
      <c r="S42" s="241"/>
      <c r="T42" s="442" t="b">
        <v>1</v>
      </c>
      <c r="U42" s="7"/>
      <c r="V42" s="7"/>
      <c r="W42" s="7"/>
      <c r="X42" s="7"/>
      <c r="Y42" s="7"/>
      <c r="Z42" s="7"/>
      <c r="AA42" s="7"/>
      <c r="AB42" s="7"/>
      <c r="AC42" s="7"/>
      <c r="AD42" s="7"/>
      <c r="AE42" s="7"/>
      <c r="AF42" s="7"/>
      <c r="AG42" s="7"/>
      <c r="AH42" s="7"/>
      <c r="AI42" s="7"/>
      <c r="AJ42" s="7"/>
      <c r="AK42" s="7"/>
      <c r="AL42" s="7"/>
      <c r="AM42" s="7"/>
      <c r="AN42" s="7"/>
    </row>
    <row r="43" spans="1:40" s="340" customFormat="1" ht="18.75" customHeight="1">
      <c r="A43" s="336"/>
      <c r="B43" s="348"/>
      <c r="C43" s="349" t="s">
        <v>410</v>
      </c>
      <c r="D43" s="349"/>
      <c r="E43" s="349"/>
      <c r="F43" s="349"/>
      <c r="G43" s="349"/>
      <c r="H43" s="349"/>
      <c r="I43" s="349"/>
      <c r="J43" s="336"/>
      <c r="K43" s="350" t="s">
        <v>354</v>
      </c>
      <c r="L43" s="385"/>
      <c r="M43" s="349"/>
      <c r="N43" s="349"/>
      <c r="O43" s="349"/>
      <c r="P43" s="349"/>
      <c r="Q43" s="349"/>
      <c r="R43" s="349"/>
      <c r="S43" s="349"/>
      <c r="T43" s="10"/>
      <c r="U43" s="7"/>
      <c r="V43" s="336"/>
      <c r="W43" s="336"/>
      <c r="X43" s="336"/>
      <c r="Y43" s="336"/>
      <c r="Z43" s="336"/>
      <c r="AA43" s="336"/>
      <c r="AB43" s="336"/>
      <c r="AC43" s="336"/>
      <c r="AD43" s="336"/>
      <c r="AE43" s="336"/>
      <c r="AF43" s="336"/>
      <c r="AG43" s="336"/>
      <c r="AH43" s="336"/>
      <c r="AI43" s="336"/>
      <c r="AJ43" s="336"/>
      <c r="AK43" s="336"/>
      <c r="AL43" s="336"/>
      <c r="AM43" s="336"/>
      <c r="AN43" s="336"/>
    </row>
    <row r="44" spans="1:40" s="6" customFormat="1" ht="14.25" customHeight="1">
      <c r="A44" s="7"/>
      <c r="B44" s="11"/>
      <c r="C44" s="10" t="s">
        <v>411</v>
      </c>
      <c r="D44" s="267" t="s">
        <v>417</v>
      </c>
      <c r="E44" s="10"/>
      <c r="F44" s="10" t="s">
        <v>233</v>
      </c>
      <c r="G44" s="10" t="s">
        <v>234</v>
      </c>
      <c r="H44" s="10"/>
      <c r="I44" s="10"/>
      <c r="J44" s="7"/>
      <c r="K44" s="304"/>
      <c r="L44" s="243"/>
      <c r="M44" s="304"/>
      <c r="N44" s="304"/>
      <c r="O44" s="304"/>
      <c r="P44" s="304"/>
      <c r="Q44" s="304"/>
      <c r="R44" s="304"/>
      <c r="S44" s="304"/>
      <c r="T44" s="304"/>
      <c r="U44" s="336"/>
      <c r="V44" s="7"/>
      <c r="W44" s="7"/>
      <c r="X44" s="7"/>
      <c r="Y44" s="7"/>
      <c r="Z44" s="7"/>
      <c r="AA44" s="7"/>
      <c r="AB44" s="7"/>
      <c r="AC44" s="7"/>
      <c r="AD44" s="7"/>
      <c r="AE44" s="7"/>
      <c r="AF44" s="7"/>
      <c r="AG44" s="7"/>
      <c r="AH44" s="7"/>
      <c r="AI44" s="7"/>
      <c r="AJ44" s="7"/>
      <c r="AK44" s="7"/>
      <c r="AL44" s="7"/>
      <c r="AM44" s="7"/>
      <c r="AN44" s="7"/>
    </row>
    <row r="45" spans="1:40" s="6" customFormat="1" ht="18" customHeight="1">
      <c r="A45" s="7"/>
      <c r="B45" s="11"/>
      <c r="C45" s="267"/>
      <c r="D45" s="295"/>
      <c r="E45" s="10"/>
      <c r="F45" s="351"/>
      <c r="G45" s="351"/>
      <c r="H45" s="10"/>
      <c r="I45" s="10"/>
      <c r="J45" s="7"/>
      <c r="K45" s="304"/>
      <c r="L45" s="386" t="s">
        <v>353</v>
      </c>
      <c r="M45" s="304">
        <f>IF(T45=TRUE,DefMatEffS,IF(OR(Produkt_2!MatEffG&lt;GWUMatEff,Produkt_2!MatEffG&gt;GWOMatEff),DefMatEff,Produkt_2!MatEffG))</f>
        <v>0.8</v>
      </c>
      <c r="N45" s="304"/>
      <c r="O45" s="304" t="s">
        <v>233</v>
      </c>
      <c r="P45" s="344">
        <f>IF(T45=TRUE,DefEnStromS,IF(OR(Produkt_2!EnStromG&lt;GWUEnStrom,Produkt_2!EnStromG&gt;GWOEnStrom),DefEnStrom,Produkt_2!EnStromG))</f>
        <v>0.8</v>
      </c>
      <c r="Q45" s="304" t="s">
        <v>234</v>
      </c>
      <c r="R45" s="432">
        <f>IF(T45=TRUE,DefEnWaermeS,IF(OR(Produkt_2!EnWaermeG&lt;GWUEnWaerme,Produkt_2!EnWaermeG&gt;GWOEnWaerme),DefEnWaerme,Produkt_2!EnWaermeG))</f>
        <v>1.4</v>
      </c>
      <c r="S45" s="304"/>
      <c r="T45" s="443" t="b">
        <v>1</v>
      </c>
      <c r="U45" s="7"/>
      <c r="V45" s="7"/>
      <c r="W45" s="7"/>
      <c r="X45" s="7"/>
      <c r="Y45" s="7"/>
      <c r="Z45" s="7"/>
      <c r="AA45" s="7"/>
      <c r="AB45" s="7"/>
      <c r="AC45" s="7"/>
      <c r="AD45" s="7"/>
      <c r="AE45" s="7"/>
      <c r="AF45" s="7"/>
      <c r="AG45" s="7"/>
      <c r="AH45" s="7"/>
      <c r="AI45" s="7"/>
      <c r="AJ45" s="7"/>
      <c r="AK45" s="7"/>
      <c r="AL45" s="7"/>
      <c r="AM45" s="7"/>
      <c r="AN45" s="7"/>
    </row>
    <row r="46" spans="1:40" s="6" customFormat="1" ht="56.25" customHeight="1">
      <c r="A46" s="7"/>
      <c r="B46" s="11"/>
      <c r="C46" s="267"/>
      <c r="D46" s="470" t="str">
        <f>IF($T$45=TRUE,"Übernahme Werte aus Blatt Start",IF(OR($D$45&lt;GWUMatEff,$D$45&gt;GWOMatEff),DeklMatEffNotOK,DeklAnteilOK))</f>
        <v>Übernahme Werte aus Blatt Start</v>
      </c>
      <c r="E46" s="470"/>
      <c r="F46" s="353" t="str">
        <f>IF($T$45=TRUE,"Übernahme Werte aus Blatt Start",IF(OR($F$45&lt;GWUEnStrom,$F$45&gt;GWOEnStrom),DeklEnEinsatzNotOK,DeklAnteilOK))</f>
        <v>Übernahme Werte aus Blatt Start</v>
      </c>
      <c r="G46" s="353" t="str">
        <f>IF($T$45=TRUE,"Übernahme Werte aus Blatt Start",IF(OR($G$45&lt;GWUEnWaerme,$G$45&gt;GWOEnWaerme),DeklEnEinsatzNotOK,DeklAnteilOK))</f>
        <v>Übernahme Werte aus Blatt Start</v>
      </c>
      <c r="H46" s="11"/>
      <c r="I46" s="10"/>
      <c r="J46" s="7"/>
      <c r="K46" s="304"/>
      <c r="L46" s="386"/>
      <c r="M46" s="304"/>
      <c r="N46" s="304"/>
      <c r="O46" s="304"/>
      <c r="P46" s="304"/>
      <c r="Q46" s="304"/>
      <c r="R46" s="304"/>
      <c r="S46" s="304"/>
      <c r="T46" s="304"/>
      <c r="U46" s="7"/>
      <c r="V46" s="7"/>
      <c r="W46" s="7"/>
      <c r="X46" s="7"/>
      <c r="Y46" s="7"/>
      <c r="Z46" s="7"/>
      <c r="AA46" s="7"/>
      <c r="AB46" s="7"/>
      <c r="AC46" s="7"/>
      <c r="AD46" s="7"/>
      <c r="AE46" s="7"/>
      <c r="AF46" s="7"/>
      <c r="AG46" s="7"/>
      <c r="AH46" s="7"/>
      <c r="AI46" s="7"/>
      <c r="AJ46" s="7"/>
      <c r="AK46" s="7"/>
      <c r="AL46" s="7"/>
      <c r="AM46" s="7"/>
      <c r="AN46" s="7"/>
    </row>
    <row r="47" spans="1:40" s="6" customFormat="1" ht="15.75" customHeight="1">
      <c r="A47" s="7"/>
      <c r="B47" s="11"/>
      <c r="C47" s="267"/>
      <c r="D47" s="470" t="str">
        <f>IF(OR(D46=DeklAnteilOK,$T$45=TRUE),"","Eingesetzter Wert: "&amp;DefMatEff*100&amp;" %")</f>
        <v/>
      </c>
      <c r="E47" s="470"/>
      <c r="F47" s="353" t="str">
        <f>IF(F46=DeklEnEinsatzNotOK,"Eingesetzter Wert: "&amp;DefEnStrom&amp;" kWh/kg","")</f>
        <v/>
      </c>
      <c r="G47" s="353" t="str">
        <f>IF(G46=DeklEnEinsatzNotOK,"Eingesetzter Wert: "&amp;DefEnWaerme&amp;" kWh/kg","")</f>
        <v/>
      </c>
      <c r="H47" s="11"/>
      <c r="I47" s="10"/>
      <c r="J47" s="7"/>
      <c r="K47" s="304"/>
      <c r="L47" s="305"/>
      <c r="M47" s="304"/>
      <c r="N47" s="304"/>
      <c r="O47" s="304"/>
      <c r="P47" s="304"/>
      <c r="Q47" s="304"/>
      <c r="R47" s="304"/>
      <c r="S47" s="304"/>
      <c r="T47" s="304"/>
      <c r="U47" s="7"/>
      <c r="V47" s="7"/>
      <c r="W47" s="7"/>
      <c r="X47" s="7"/>
      <c r="Y47" s="7"/>
      <c r="Z47" s="7"/>
      <c r="AA47" s="7"/>
      <c r="AB47" s="7"/>
      <c r="AC47" s="7"/>
      <c r="AD47" s="7"/>
      <c r="AE47" s="7"/>
      <c r="AF47" s="7"/>
      <c r="AG47" s="7"/>
      <c r="AH47" s="7"/>
      <c r="AI47" s="7"/>
      <c r="AJ47" s="7"/>
      <c r="AK47" s="7"/>
      <c r="AL47" s="7"/>
      <c r="AM47" s="7"/>
      <c r="AN47" s="7"/>
    </row>
    <row r="48" spans="1:40" s="341" customFormat="1" ht="4.5" customHeight="1">
      <c r="B48" s="299"/>
      <c r="C48" s="303"/>
      <c r="D48" s="377"/>
      <c r="E48" s="377"/>
      <c r="F48" s="377"/>
      <c r="G48" s="377"/>
      <c r="H48" s="299"/>
      <c r="K48" s="378"/>
      <c r="L48" s="378"/>
      <c r="M48" s="378"/>
      <c r="N48" s="378"/>
      <c r="O48" s="378"/>
      <c r="P48" s="378"/>
      <c r="Q48" s="378"/>
      <c r="R48" s="378"/>
      <c r="S48" s="378"/>
      <c r="T48" s="378"/>
      <c r="U48" s="7"/>
    </row>
    <row r="49" spans="1:40" s="6" customFormat="1" ht="9.75" customHeight="1">
      <c r="A49" s="7"/>
      <c r="B49" s="151"/>
      <c r="C49" s="151"/>
      <c r="D49" s="151"/>
      <c r="E49" s="151"/>
      <c r="F49" s="151"/>
      <c r="G49" s="151"/>
      <c r="H49" s="151"/>
      <c r="I49" s="151"/>
      <c r="J49" s="7"/>
      <c r="K49" s="358"/>
      <c r="L49" s="359"/>
      <c r="M49" s="341"/>
      <c r="N49" s="341"/>
      <c r="O49" s="341"/>
      <c r="P49" s="360"/>
      <c r="Q49" s="341"/>
      <c r="R49" s="361"/>
      <c r="S49" s="358"/>
      <c r="T49" s="358"/>
      <c r="U49" s="341"/>
      <c r="V49" s="7"/>
      <c r="W49" s="7"/>
      <c r="X49" s="7"/>
      <c r="Y49" s="7"/>
      <c r="Z49" s="7"/>
      <c r="AA49" s="7"/>
      <c r="AB49" s="7"/>
      <c r="AC49" s="7"/>
      <c r="AD49" s="7"/>
      <c r="AE49" s="7"/>
      <c r="AF49" s="7"/>
      <c r="AG49" s="7"/>
      <c r="AH49" s="7"/>
      <c r="AI49" s="7"/>
      <c r="AJ49" s="7"/>
      <c r="AK49" s="7"/>
      <c r="AL49" s="7"/>
      <c r="AM49" s="7"/>
      <c r="AN49" s="7"/>
    </row>
    <row r="50" spans="1:40" s="6" customFormat="1" ht="28.5" customHeight="1">
      <c r="A50" s="7"/>
      <c r="B50" s="151"/>
      <c r="C50" s="152" t="s">
        <v>357</v>
      </c>
      <c r="D50" s="153" t="s">
        <v>331</v>
      </c>
      <c r="E50" s="153" t="s">
        <v>333</v>
      </c>
      <c r="F50" s="153" t="s">
        <v>332</v>
      </c>
      <c r="G50" s="153" t="s">
        <v>137</v>
      </c>
      <c r="H50" s="153" t="s">
        <v>267</v>
      </c>
      <c r="I50" s="151"/>
      <c r="J50" s="7"/>
      <c r="K50" s="304" t="s">
        <v>175</v>
      </c>
      <c r="L50" s="436">
        <f>SUM(L16:L27,M16:M27,L33,L38,L42)</f>
        <v>0</v>
      </c>
      <c r="M50" s="304"/>
      <c r="N50" s="438">
        <f>SUM(N16:N27,O16:O27,N33,N38,N42)</f>
        <v>0</v>
      </c>
      <c r="O50" s="304"/>
      <c r="P50" s="438">
        <f>SUM(P16:P27,Q16:Q27,P33,P38,P42)</f>
        <v>0</v>
      </c>
      <c r="Q50" s="304"/>
      <c r="R50" s="437">
        <f>SUM(R16:R27,S16:S27,R33,R38,R42)</f>
        <v>0</v>
      </c>
      <c r="S50" s="304"/>
      <c r="T50" s="437">
        <f>SUM(T16:T27)</f>
        <v>0</v>
      </c>
      <c r="U50" s="7"/>
      <c r="V50" s="7"/>
      <c r="W50" s="7"/>
      <c r="X50" s="7"/>
      <c r="Y50" s="7"/>
      <c r="Z50" s="7"/>
      <c r="AA50" s="7"/>
      <c r="AB50" s="7"/>
      <c r="AC50" s="7"/>
      <c r="AD50" s="7"/>
      <c r="AE50" s="7"/>
      <c r="AF50" s="7"/>
      <c r="AG50" s="7"/>
      <c r="AH50" s="7"/>
      <c r="AI50" s="7"/>
      <c r="AJ50" s="7"/>
      <c r="AK50" s="7"/>
      <c r="AL50" s="7"/>
      <c r="AM50" s="7"/>
      <c r="AN50" s="7"/>
    </row>
    <row r="51" spans="1:40" s="6" customFormat="1" ht="19.5">
      <c r="A51" s="7"/>
      <c r="B51" s="151"/>
      <c r="C51" s="154"/>
      <c r="D51" s="155" t="s">
        <v>16</v>
      </c>
      <c r="E51" s="155" t="s">
        <v>154</v>
      </c>
      <c r="F51" s="155" t="s">
        <v>154</v>
      </c>
      <c r="G51" s="155" t="s">
        <v>240</v>
      </c>
      <c r="H51" s="155" t="s">
        <v>258</v>
      </c>
      <c r="I51" s="151"/>
      <c r="J51" s="7"/>
      <c r="K51" s="358"/>
      <c r="L51" s="359"/>
      <c r="M51" s="341"/>
      <c r="N51" s="341"/>
      <c r="O51" s="341"/>
      <c r="P51" s="360"/>
      <c r="Q51" s="341"/>
      <c r="R51" s="361"/>
      <c r="S51" s="358"/>
      <c r="T51" s="358"/>
      <c r="U51" s="7"/>
      <c r="V51" s="7"/>
      <c r="W51" s="7"/>
      <c r="X51" s="7"/>
      <c r="Y51" s="7"/>
      <c r="Z51" s="7"/>
      <c r="AA51" s="7"/>
      <c r="AB51" s="7"/>
      <c r="AC51" s="7"/>
      <c r="AD51" s="7"/>
      <c r="AE51" s="7"/>
      <c r="AF51" s="7"/>
      <c r="AG51" s="7"/>
      <c r="AH51" s="7"/>
      <c r="AI51" s="7"/>
      <c r="AJ51" s="7"/>
      <c r="AK51" s="7"/>
      <c r="AL51" s="7"/>
      <c r="AM51" s="7"/>
      <c r="AN51" s="7"/>
    </row>
    <row r="52" spans="1:40" s="6" customFormat="1">
      <c r="A52" s="7"/>
      <c r="B52" s="151"/>
      <c r="C52" s="156" t="s">
        <v>236</v>
      </c>
      <c r="D52" s="157">
        <f>IFERROR(SUM(L$16:L$27),0)</f>
        <v>0</v>
      </c>
      <c r="E52" s="158">
        <f>IFERROR(SUM(N$16:N$27),0)</f>
        <v>0</v>
      </c>
      <c r="F52" s="158">
        <f>IFERROR(SUM(P$16:P$27),0)</f>
        <v>0</v>
      </c>
      <c r="G52" s="159">
        <f>IFERROR(SUM(R$16:R$27),0)</f>
        <v>0</v>
      </c>
      <c r="H52" s="159">
        <f>IFERROR(SUM(T$16:T$27),0)</f>
        <v>0</v>
      </c>
      <c r="I52" s="160"/>
      <c r="J52" s="7"/>
      <c r="K52" s="362"/>
      <c r="L52" s="363"/>
      <c r="M52" s="364"/>
      <c r="N52" s="364"/>
      <c r="O52" s="364"/>
      <c r="P52" s="364"/>
      <c r="Q52" s="364"/>
      <c r="R52" s="364"/>
      <c r="S52" s="364"/>
      <c r="T52" s="364"/>
      <c r="U52" s="7"/>
      <c r="V52" s="7"/>
      <c r="W52" s="7"/>
      <c r="X52" s="7"/>
      <c r="Y52" s="7"/>
      <c r="Z52" s="7"/>
      <c r="AA52" s="7"/>
      <c r="AB52" s="7"/>
      <c r="AC52" s="7"/>
      <c r="AD52" s="7"/>
      <c r="AE52" s="7"/>
      <c r="AF52" s="7"/>
      <c r="AG52" s="7"/>
      <c r="AH52" s="7"/>
      <c r="AI52" s="7"/>
      <c r="AJ52" s="7"/>
      <c r="AK52" s="7"/>
      <c r="AL52" s="7"/>
      <c r="AM52" s="7"/>
      <c r="AN52" s="7"/>
    </row>
    <row r="53" spans="1:40" s="6" customFormat="1">
      <c r="A53" s="7"/>
      <c r="B53" s="151"/>
      <c r="C53" s="156" t="s">
        <v>237</v>
      </c>
      <c r="D53" s="157">
        <f>IFERROR(SUM(M$16:M$27),0)</f>
        <v>0</v>
      </c>
      <c r="E53" s="158">
        <f>IFERROR(SUM(O$16:O$27),0)</f>
        <v>0</v>
      </c>
      <c r="F53" s="158">
        <f>IFERROR(SUM(Q$16:Q$27),0)</f>
        <v>0</v>
      </c>
      <c r="G53" s="159">
        <f>IFERROR(SUM(S$16:S$27),0)</f>
        <v>0</v>
      </c>
      <c r="H53" s="161"/>
      <c r="I53" s="162"/>
      <c r="J53" s="7"/>
      <c r="K53" s="365"/>
      <c r="L53" s="366"/>
      <c r="M53" s="358"/>
      <c r="N53" s="358"/>
      <c r="O53" s="358"/>
      <c r="P53" s="360"/>
      <c r="Q53" s="341"/>
      <c r="R53" s="361"/>
      <c r="S53" s="358"/>
      <c r="T53" s="358"/>
      <c r="U53" s="7"/>
      <c r="V53" s="7"/>
      <c r="W53" s="7"/>
      <c r="X53" s="7"/>
      <c r="Y53" s="7"/>
      <c r="Z53" s="7"/>
      <c r="AA53" s="7"/>
      <c r="AB53" s="7"/>
      <c r="AC53" s="7"/>
      <c r="AD53" s="7"/>
      <c r="AE53" s="7"/>
      <c r="AF53" s="7"/>
      <c r="AG53" s="7"/>
      <c r="AH53" s="7"/>
      <c r="AI53" s="7"/>
      <c r="AJ53" s="7"/>
      <c r="AK53" s="7"/>
      <c r="AL53" s="7"/>
      <c r="AM53" s="7"/>
      <c r="AN53" s="7"/>
    </row>
    <row r="54" spans="1:40" s="6" customFormat="1">
      <c r="A54" s="7"/>
      <c r="B54" s="151"/>
      <c r="C54" s="163" t="s">
        <v>238</v>
      </c>
      <c r="D54" s="164">
        <f>IFERROR(SUM(L38,L42),0)</f>
        <v>0</v>
      </c>
      <c r="E54" s="165">
        <f>IFERROR(SUM(N38,N42),0)</f>
        <v>0</v>
      </c>
      <c r="F54" s="158">
        <f>IFERROR(SUM(P38,P42),0)</f>
        <v>0</v>
      </c>
      <c r="G54" s="159">
        <f>IFERROR(SUM(R38,R42),0)</f>
        <v>0</v>
      </c>
      <c r="H54" s="161"/>
      <c r="I54" s="162"/>
      <c r="J54" s="7"/>
      <c r="K54" s="365"/>
      <c r="L54" s="367"/>
      <c r="M54" s="358"/>
      <c r="N54" s="358"/>
      <c r="O54" s="358"/>
      <c r="P54" s="360"/>
      <c r="Q54" s="341"/>
      <c r="R54" s="361"/>
      <c r="S54" s="358"/>
      <c r="T54" s="358"/>
      <c r="U54" s="7"/>
      <c r="V54" s="7"/>
      <c r="W54" s="7"/>
      <c r="X54" s="7"/>
      <c r="Y54" s="7"/>
      <c r="Z54" s="7"/>
      <c r="AA54" s="7"/>
      <c r="AB54" s="7"/>
      <c r="AC54" s="7"/>
      <c r="AD54" s="7"/>
      <c r="AE54" s="7"/>
      <c r="AF54" s="7"/>
      <c r="AG54" s="7"/>
      <c r="AH54" s="7"/>
      <c r="AI54" s="7"/>
      <c r="AJ54" s="7"/>
      <c r="AK54" s="7"/>
      <c r="AL54" s="7"/>
      <c r="AM54" s="7"/>
      <c r="AN54" s="7"/>
    </row>
    <row r="55" spans="1:40" s="6" customFormat="1">
      <c r="A55" s="7"/>
      <c r="B55" s="151"/>
      <c r="C55" s="163" t="s">
        <v>60</v>
      </c>
      <c r="D55" s="164">
        <f>IFERROR(L33,0)</f>
        <v>0</v>
      </c>
      <c r="E55" s="165">
        <f>IFERROR(N33,0)</f>
        <v>0</v>
      </c>
      <c r="F55" s="165">
        <f>IFERROR(P33,0)</f>
        <v>0</v>
      </c>
      <c r="G55" s="166">
        <f>IFERROR(R33,0)</f>
        <v>0</v>
      </c>
      <c r="H55" s="161"/>
      <c r="I55" s="162"/>
      <c r="J55" s="7"/>
      <c r="K55" s="368"/>
      <c r="L55" s="367"/>
      <c r="M55" s="358"/>
      <c r="N55" s="358"/>
      <c r="O55" s="358"/>
      <c r="P55" s="360"/>
      <c r="Q55" s="341"/>
      <c r="R55" s="361"/>
      <c r="S55" s="358"/>
      <c r="T55" s="358"/>
      <c r="U55" s="7"/>
      <c r="V55" s="7"/>
      <c r="W55" s="7"/>
      <c r="X55" s="7"/>
      <c r="Y55" s="7"/>
      <c r="Z55" s="7"/>
      <c r="AA55" s="7"/>
      <c r="AB55" s="7"/>
      <c r="AC55" s="7"/>
      <c r="AD55" s="7"/>
      <c r="AE55" s="7"/>
      <c r="AF55" s="7"/>
      <c r="AG55" s="7"/>
      <c r="AH55" s="7"/>
      <c r="AI55" s="7"/>
      <c r="AJ55" s="7"/>
      <c r="AK55" s="7"/>
      <c r="AL55" s="7"/>
      <c r="AM55" s="7"/>
      <c r="AN55" s="7"/>
    </row>
    <row r="56" spans="1:40" s="6" customFormat="1" ht="15" customHeight="1">
      <c r="A56" s="7"/>
      <c r="B56" s="151"/>
      <c r="C56" s="167" t="s">
        <v>1</v>
      </c>
      <c r="D56" s="168">
        <f>SUM(D52:D55)</f>
        <v>0</v>
      </c>
      <c r="E56" s="169">
        <f>SUM(E52:E55)</f>
        <v>0</v>
      </c>
      <c r="F56" s="169">
        <f t="shared" ref="F56:H56" si="13">SUM(F52:F55)</f>
        <v>0</v>
      </c>
      <c r="G56" s="170">
        <f t="shared" si="13"/>
        <v>0</v>
      </c>
      <c r="H56" s="170">
        <f t="shared" si="13"/>
        <v>0</v>
      </c>
      <c r="I56" s="160"/>
      <c r="J56" s="7"/>
      <c r="K56" s="365"/>
      <c r="L56" s="366"/>
      <c r="M56" s="341"/>
      <c r="N56" s="341"/>
      <c r="O56" s="341"/>
      <c r="P56" s="341"/>
      <c r="Q56" s="341"/>
      <c r="R56" s="341"/>
      <c r="S56" s="341"/>
      <c r="T56" s="341"/>
      <c r="U56" s="7"/>
      <c r="V56" s="7"/>
      <c r="W56" s="7"/>
      <c r="X56" s="7"/>
      <c r="Y56" s="7"/>
      <c r="Z56" s="7"/>
      <c r="AA56" s="7"/>
      <c r="AB56" s="7"/>
      <c r="AC56" s="7"/>
      <c r="AD56" s="7"/>
      <c r="AE56" s="7"/>
      <c r="AF56" s="7"/>
      <c r="AG56" s="7"/>
      <c r="AH56" s="7"/>
      <c r="AI56" s="7"/>
      <c r="AJ56" s="7"/>
      <c r="AK56" s="7"/>
      <c r="AL56" s="7"/>
      <c r="AM56" s="7"/>
      <c r="AN56" s="7"/>
    </row>
    <row r="57" spans="1:40" s="6" customFormat="1">
      <c r="A57" s="7"/>
      <c r="B57" s="151"/>
      <c r="C57" s="151"/>
      <c r="D57" s="151"/>
      <c r="E57" s="151"/>
      <c r="F57" s="151"/>
      <c r="G57" s="151"/>
      <c r="H57" s="151"/>
      <c r="I57" s="151"/>
      <c r="J57" s="7"/>
      <c r="K57" s="365"/>
      <c r="L57" s="366"/>
      <c r="M57" s="341"/>
      <c r="N57" s="341"/>
      <c r="O57" s="341"/>
      <c r="P57" s="341"/>
      <c r="Q57" s="341"/>
      <c r="R57" s="341"/>
      <c r="S57" s="341"/>
      <c r="T57" s="341"/>
      <c r="U57" s="7"/>
      <c r="V57" s="7"/>
      <c r="W57" s="7"/>
      <c r="X57" s="7"/>
      <c r="Y57" s="7"/>
      <c r="Z57" s="7"/>
      <c r="AA57" s="7"/>
      <c r="AB57" s="7"/>
      <c r="AC57" s="7"/>
      <c r="AD57" s="7"/>
      <c r="AE57" s="7"/>
      <c r="AF57" s="7"/>
      <c r="AG57" s="7"/>
      <c r="AH57" s="7"/>
      <c r="AI57" s="7"/>
      <c r="AJ57" s="7"/>
      <c r="AK57" s="7"/>
      <c r="AL57" s="7"/>
      <c r="AM57" s="7"/>
      <c r="AN57" s="7"/>
    </row>
    <row r="58" spans="1:40" s="6" customForma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row>
    <row r="59" spans="1:40">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row>
    <row r="60" spans="1:40">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row>
    <row r="61" spans="1:40">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row>
    <row r="62" spans="1:40">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row>
    <row r="63" spans="1:40">
      <c r="A63" s="7"/>
      <c r="B63" s="7"/>
      <c r="C63" s="7"/>
      <c r="D63" s="7"/>
      <c r="E63" s="7"/>
      <c r="F63" s="7"/>
      <c r="G63" s="7"/>
      <c r="H63" s="7"/>
      <c r="I63" s="1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row>
    <row r="64" spans="1:40">
      <c r="A64" s="7"/>
      <c r="B64" s="7"/>
      <c r="C64" s="15"/>
      <c r="D64" s="15"/>
      <c r="E64" s="15"/>
      <c r="F64" s="15"/>
      <c r="G64" s="15"/>
      <c r="H64" s="15"/>
      <c r="I64" s="7"/>
      <c r="J64" s="7"/>
      <c r="K64" s="7"/>
      <c r="U64" s="7"/>
      <c r="V64" s="7"/>
      <c r="W64" s="7"/>
      <c r="X64" s="7"/>
      <c r="Y64" s="7"/>
      <c r="Z64" s="7"/>
      <c r="AA64" s="7"/>
      <c r="AB64" s="7"/>
      <c r="AC64" s="7"/>
      <c r="AD64" s="7"/>
      <c r="AE64" s="7"/>
      <c r="AF64" s="7"/>
      <c r="AG64" s="7"/>
      <c r="AH64" s="7"/>
      <c r="AI64" s="7"/>
      <c r="AJ64" s="7"/>
      <c r="AK64" s="7"/>
      <c r="AL64" s="7"/>
      <c r="AM64" s="7"/>
      <c r="AN64" s="7"/>
    </row>
    <row r="65" spans="1:40">
      <c r="A65" s="7"/>
      <c r="B65" s="8"/>
      <c r="C65" s="7"/>
      <c r="D65" s="7"/>
      <c r="E65" s="7"/>
      <c r="F65" s="7"/>
      <c r="G65" s="7"/>
      <c r="H65" s="7"/>
      <c r="I65" s="7"/>
      <c r="J65" s="7"/>
      <c r="K65" s="7"/>
      <c r="U65" s="7"/>
      <c r="V65" s="7"/>
      <c r="W65" s="7"/>
      <c r="X65" s="7"/>
      <c r="Y65" s="7"/>
      <c r="Z65" s="7"/>
      <c r="AA65" s="7"/>
      <c r="AB65" s="7"/>
      <c r="AC65" s="7"/>
      <c r="AD65" s="7"/>
      <c r="AE65" s="7"/>
      <c r="AF65" s="7"/>
      <c r="AG65" s="7"/>
      <c r="AH65" s="7"/>
      <c r="AI65" s="7"/>
      <c r="AJ65" s="7"/>
      <c r="AK65" s="7"/>
      <c r="AL65" s="7"/>
      <c r="AM65" s="7"/>
      <c r="AN65" s="7"/>
    </row>
    <row r="66" spans="1:40">
      <c r="A66" s="7"/>
      <c r="B66" s="7"/>
      <c r="C66" s="7"/>
      <c r="D66" s="7"/>
      <c r="E66" s="7"/>
      <c r="F66" s="7"/>
      <c r="G66" s="7"/>
      <c r="H66" s="7"/>
      <c r="I66" s="7"/>
      <c r="J66" s="7"/>
      <c r="K66" s="7"/>
      <c r="U66" s="7"/>
      <c r="V66" s="7"/>
      <c r="W66" s="7"/>
      <c r="X66" s="7"/>
      <c r="Y66" s="7"/>
      <c r="Z66" s="7"/>
      <c r="AA66" s="7"/>
      <c r="AB66" s="7"/>
      <c r="AC66" s="7"/>
      <c r="AD66" s="7"/>
      <c r="AE66" s="7"/>
      <c r="AF66" s="7"/>
      <c r="AG66" s="7"/>
      <c r="AH66" s="7"/>
      <c r="AI66" s="7"/>
      <c r="AJ66" s="7"/>
      <c r="AK66" s="7"/>
      <c r="AL66" s="7"/>
      <c r="AM66" s="7"/>
      <c r="AN66" s="7"/>
    </row>
    <row r="67" spans="1:40">
      <c r="A67" s="7"/>
      <c r="B67" s="8"/>
      <c r="C67" s="7"/>
      <c r="D67" s="7"/>
      <c r="E67" s="7"/>
      <c r="F67" s="7"/>
      <c r="G67" s="7"/>
      <c r="H67" s="7"/>
      <c r="I67" s="7"/>
      <c r="J67" s="7"/>
      <c r="K67" s="7"/>
      <c r="U67" s="7"/>
      <c r="V67" s="7"/>
      <c r="W67" s="7"/>
      <c r="X67" s="7"/>
      <c r="Y67" s="7"/>
      <c r="Z67" s="7"/>
      <c r="AA67" s="7"/>
      <c r="AB67" s="7"/>
      <c r="AC67" s="7"/>
      <c r="AD67" s="7"/>
      <c r="AE67" s="7"/>
      <c r="AF67" s="7"/>
      <c r="AG67" s="7"/>
      <c r="AH67" s="7"/>
      <c r="AI67" s="7"/>
      <c r="AJ67" s="7"/>
      <c r="AK67" s="7"/>
      <c r="AL67" s="7"/>
      <c r="AM67" s="7"/>
      <c r="AN67" s="7"/>
    </row>
    <row r="68" spans="1:40">
      <c r="A68" s="7"/>
      <c r="B68" s="7"/>
      <c r="C68" s="7"/>
      <c r="D68" s="7"/>
      <c r="E68" s="7"/>
      <c r="F68" s="7"/>
      <c r="G68" s="7"/>
      <c r="H68" s="7"/>
      <c r="I68" s="7"/>
      <c r="J68" s="7"/>
      <c r="K68" s="7"/>
      <c r="U68" s="7"/>
      <c r="V68" s="7"/>
      <c r="W68" s="7"/>
      <c r="X68" s="7"/>
      <c r="Y68" s="7"/>
      <c r="Z68" s="7"/>
      <c r="AA68" s="7"/>
      <c r="AB68" s="7"/>
      <c r="AC68" s="7"/>
      <c r="AD68" s="7"/>
      <c r="AE68" s="7"/>
      <c r="AF68" s="7"/>
      <c r="AG68" s="7"/>
      <c r="AH68" s="7"/>
      <c r="AI68" s="7"/>
      <c r="AJ68" s="7"/>
      <c r="AK68" s="7"/>
      <c r="AL68" s="7"/>
      <c r="AM68" s="7"/>
      <c r="AN68" s="7"/>
    </row>
    <row r="69" spans="1:40">
      <c r="A69" s="7"/>
      <c r="B69" s="7"/>
      <c r="C69" s="7"/>
      <c r="D69" s="7"/>
      <c r="E69" s="7"/>
      <c r="F69" s="7"/>
      <c r="G69" s="7"/>
      <c r="H69" s="7"/>
      <c r="I69" s="7"/>
      <c r="J69" s="7"/>
      <c r="K69" s="7"/>
      <c r="U69" s="7"/>
      <c r="V69" s="7"/>
      <c r="W69" s="7"/>
      <c r="X69" s="7"/>
      <c r="Y69" s="7"/>
      <c r="Z69" s="7"/>
      <c r="AA69" s="7"/>
      <c r="AB69" s="7"/>
      <c r="AC69" s="7"/>
      <c r="AD69" s="7"/>
      <c r="AE69" s="7"/>
      <c r="AF69" s="7"/>
      <c r="AG69" s="7"/>
      <c r="AH69" s="7"/>
      <c r="AI69" s="7"/>
      <c r="AJ69" s="7"/>
      <c r="AK69" s="7"/>
      <c r="AL69" s="7"/>
      <c r="AM69" s="7"/>
      <c r="AN69" s="7"/>
    </row>
    <row r="70" spans="1:40">
      <c r="A70" s="7"/>
      <c r="B70" s="7"/>
      <c r="C70" s="7"/>
      <c r="D70" s="7"/>
      <c r="E70" s="7"/>
      <c r="F70" s="7"/>
      <c r="G70" s="7"/>
      <c r="H70" s="7"/>
      <c r="I70" s="7"/>
      <c r="J70" s="7"/>
      <c r="K70" s="7"/>
      <c r="U70" s="7"/>
      <c r="V70" s="7"/>
      <c r="W70" s="7"/>
      <c r="X70" s="7"/>
      <c r="Y70" s="7"/>
      <c r="Z70" s="7"/>
      <c r="AA70" s="7"/>
      <c r="AB70" s="7"/>
      <c r="AC70" s="7"/>
      <c r="AD70" s="7"/>
      <c r="AE70" s="7"/>
      <c r="AF70" s="7"/>
      <c r="AG70" s="7"/>
      <c r="AH70" s="7"/>
      <c r="AI70" s="7"/>
      <c r="AJ70" s="7"/>
      <c r="AK70" s="7"/>
      <c r="AL70" s="7"/>
      <c r="AM70" s="7"/>
      <c r="AN70" s="7"/>
    </row>
    <row r="71" spans="1:40">
      <c r="A71" s="7"/>
      <c r="B71" s="7"/>
      <c r="C71" s="7"/>
      <c r="D71" s="7"/>
      <c r="E71" s="7"/>
      <c r="F71" s="7"/>
      <c r="G71" s="7"/>
      <c r="H71" s="7"/>
      <c r="I71" s="7"/>
      <c r="J71" s="7"/>
      <c r="K71" s="7"/>
      <c r="U71" s="7"/>
      <c r="V71" s="7"/>
      <c r="W71" s="7"/>
      <c r="X71" s="7"/>
      <c r="Y71" s="7"/>
      <c r="Z71" s="7"/>
      <c r="AA71" s="7"/>
      <c r="AB71" s="7"/>
      <c r="AC71" s="7"/>
      <c r="AD71" s="7"/>
      <c r="AE71" s="7"/>
      <c r="AF71" s="7"/>
      <c r="AG71" s="7"/>
      <c r="AH71" s="7"/>
      <c r="AI71" s="7"/>
      <c r="AJ71" s="7"/>
      <c r="AK71" s="7"/>
      <c r="AL71" s="7"/>
      <c r="AM71" s="7"/>
      <c r="AN71" s="7"/>
    </row>
    <row r="72" spans="1:40">
      <c r="A72" s="7"/>
      <c r="B72" s="7"/>
      <c r="C72" s="7"/>
      <c r="D72" s="7"/>
      <c r="E72" s="7"/>
      <c r="F72" s="7"/>
      <c r="G72" s="7"/>
      <c r="H72" s="7"/>
      <c r="I72" s="7"/>
      <c r="J72" s="7"/>
      <c r="K72" s="7"/>
      <c r="U72" s="7"/>
      <c r="V72" s="7"/>
      <c r="W72" s="7"/>
      <c r="X72" s="7"/>
      <c r="Y72" s="7"/>
      <c r="Z72" s="7"/>
      <c r="AA72" s="7"/>
      <c r="AB72" s="7"/>
      <c r="AC72" s="7"/>
      <c r="AD72" s="7"/>
      <c r="AE72" s="7"/>
      <c r="AF72" s="7"/>
      <c r="AG72" s="7"/>
      <c r="AH72" s="7"/>
      <c r="AI72" s="7"/>
      <c r="AJ72" s="7"/>
      <c r="AK72" s="7"/>
      <c r="AL72" s="7"/>
      <c r="AM72" s="7"/>
      <c r="AN72" s="7"/>
    </row>
    <row r="73" spans="1:40">
      <c r="A73" s="7"/>
      <c r="B73" s="7"/>
      <c r="C73" s="7"/>
      <c r="D73" s="7"/>
      <c r="E73" s="7"/>
      <c r="F73" s="7"/>
      <c r="G73" s="7"/>
      <c r="H73" s="7"/>
      <c r="I73" s="7"/>
      <c r="J73" s="7"/>
      <c r="K73" s="7"/>
      <c r="U73" s="7"/>
      <c r="V73" s="7"/>
      <c r="W73" s="7"/>
      <c r="X73" s="7"/>
      <c r="Y73" s="7"/>
      <c r="Z73" s="7"/>
      <c r="AA73" s="7"/>
      <c r="AB73" s="7"/>
      <c r="AC73" s="7"/>
      <c r="AD73" s="7"/>
      <c r="AE73" s="7"/>
      <c r="AF73" s="7"/>
      <c r="AG73" s="7"/>
      <c r="AH73" s="7"/>
      <c r="AI73" s="7"/>
      <c r="AJ73" s="7"/>
      <c r="AK73" s="7"/>
      <c r="AL73" s="7"/>
      <c r="AM73" s="7"/>
      <c r="AN73" s="7"/>
    </row>
    <row r="74" spans="1:40">
      <c r="A74" s="7"/>
      <c r="B74" s="7"/>
      <c r="C74" s="7"/>
      <c r="D74" s="7"/>
      <c r="E74" s="7"/>
      <c r="F74" s="7"/>
      <c r="G74" s="7"/>
      <c r="H74" s="7"/>
      <c r="I74" s="7"/>
      <c r="J74" s="7"/>
      <c r="K74" s="7"/>
      <c r="U74" s="7"/>
      <c r="V74" s="7"/>
      <c r="W74" s="7"/>
      <c r="X74" s="7"/>
      <c r="Y74" s="7"/>
      <c r="Z74" s="7"/>
      <c r="AA74" s="7"/>
      <c r="AB74" s="7"/>
      <c r="AC74" s="7"/>
      <c r="AD74" s="7"/>
      <c r="AE74" s="7"/>
      <c r="AF74" s="7"/>
      <c r="AG74" s="7"/>
      <c r="AH74" s="7"/>
      <c r="AI74" s="7"/>
      <c r="AJ74" s="7"/>
      <c r="AK74" s="7"/>
      <c r="AL74" s="7"/>
      <c r="AM74" s="7"/>
      <c r="AN74" s="7"/>
    </row>
    <row r="75" spans="1:40">
      <c r="A75" s="7"/>
      <c r="B75" s="7"/>
      <c r="C75" s="7"/>
      <c r="D75" s="7"/>
      <c r="E75" s="7"/>
      <c r="F75" s="7"/>
      <c r="G75" s="7"/>
      <c r="H75" s="7"/>
      <c r="I75" s="7"/>
      <c r="J75" s="7"/>
      <c r="K75" s="7"/>
      <c r="U75" s="7"/>
      <c r="V75" s="7"/>
      <c r="W75" s="7"/>
      <c r="X75" s="7"/>
      <c r="Y75" s="7"/>
      <c r="Z75" s="7"/>
      <c r="AA75" s="7"/>
      <c r="AB75" s="7"/>
      <c r="AC75" s="7"/>
      <c r="AD75" s="7"/>
      <c r="AE75" s="7"/>
      <c r="AF75" s="7"/>
      <c r="AG75" s="7"/>
      <c r="AH75" s="7"/>
      <c r="AI75" s="7"/>
      <c r="AJ75" s="7"/>
      <c r="AK75" s="7"/>
      <c r="AL75" s="7"/>
      <c r="AM75" s="7"/>
      <c r="AN75" s="7"/>
    </row>
    <row r="76" spans="1:40">
      <c r="A76" s="7"/>
      <c r="B76" s="7"/>
      <c r="C76" s="7"/>
      <c r="D76" s="7"/>
      <c r="E76" s="7"/>
      <c r="F76" s="7"/>
      <c r="G76" s="7"/>
      <c r="H76" s="7"/>
      <c r="I76" s="7"/>
      <c r="J76" s="7"/>
      <c r="K76" s="7"/>
      <c r="U76" s="7"/>
      <c r="V76" s="7"/>
      <c r="W76" s="7"/>
      <c r="X76" s="7"/>
      <c r="Y76" s="7"/>
      <c r="Z76" s="7"/>
      <c r="AA76" s="7"/>
      <c r="AB76" s="7"/>
      <c r="AC76" s="7"/>
      <c r="AD76" s="7"/>
      <c r="AE76" s="7"/>
      <c r="AF76" s="7"/>
      <c r="AG76" s="7"/>
      <c r="AH76" s="7"/>
      <c r="AI76" s="7"/>
      <c r="AJ76" s="7"/>
      <c r="AK76" s="7"/>
      <c r="AL76" s="7"/>
      <c r="AM76" s="7"/>
      <c r="AN76" s="7"/>
    </row>
    <row r="77" spans="1:40">
      <c r="A77" s="7"/>
      <c r="B77" s="7"/>
      <c r="C77" s="7"/>
      <c r="D77" s="7"/>
      <c r="E77" s="7"/>
      <c r="F77" s="7"/>
      <c r="G77" s="7"/>
      <c r="H77" s="7"/>
      <c r="I77" s="7"/>
      <c r="J77" s="7"/>
      <c r="K77" s="7"/>
      <c r="U77" s="7"/>
      <c r="V77" s="7"/>
      <c r="W77" s="7"/>
      <c r="X77" s="7"/>
      <c r="Y77" s="7"/>
      <c r="Z77" s="7"/>
      <c r="AA77" s="7"/>
      <c r="AB77" s="7"/>
      <c r="AC77" s="7"/>
      <c r="AD77" s="7"/>
      <c r="AE77" s="7"/>
      <c r="AF77" s="7"/>
      <c r="AG77" s="7"/>
      <c r="AH77" s="7"/>
      <c r="AI77" s="7"/>
      <c r="AJ77" s="7"/>
      <c r="AK77" s="7"/>
      <c r="AL77" s="7"/>
      <c r="AM77" s="7"/>
      <c r="AN77" s="7"/>
    </row>
    <row r="78" spans="1:40" ht="15.75" customHeight="1">
      <c r="A78" s="7"/>
      <c r="B78" s="7"/>
      <c r="C78" s="7"/>
      <c r="D78" s="7"/>
      <c r="E78" s="7"/>
      <c r="F78" s="7"/>
      <c r="G78" s="7"/>
      <c r="H78" s="7"/>
      <c r="I78" s="7"/>
      <c r="J78" s="7"/>
      <c r="K78" s="7"/>
      <c r="U78" s="7"/>
      <c r="V78" s="7"/>
      <c r="W78" s="7"/>
      <c r="X78" s="7"/>
      <c r="Y78" s="7"/>
      <c r="Z78" s="7"/>
      <c r="AA78" s="7"/>
      <c r="AB78" s="7"/>
      <c r="AC78" s="7"/>
      <c r="AD78" s="7"/>
      <c r="AE78" s="7"/>
      <c r="AF78" s="7"/>
      <c r="AG78" s="7"/>
      <c r="AH78" s="7"/>
      <c r="AI78" s="7"/>
      <c r="AJ78" s="7"/>
      <c r="AK78" s="7"/>
      <c r="AL78" s="7"/>
      <c r="AM78" s="7"/>
      <c r="AN78" s="7"/>
    </row>
    <row r="79" spans="1:40">
      <c r="A79" s="7"/>
      <c r="B79" s="7"/>
      <c r="C79" s="7"/>
      <c r="D79" s="7"/>
      <c r="E79" s="7"/>
      <c r="F79" s="7"/>
      <c r="G79" s="7"/>
      <c r="H79" s="7"/>
      <c r="I79" s="7"/>
      <c r="J79" s="7"/>
      <c r="K79" s="7"/>
      <c r="U79" s="7"/>
      <c r="V79" s="7"/>
      <c r="W79" s="7"/>
      <c r="X79" s="7"/>
      <c r="Y79" s="7"/>
      <c r="Z79" s="7"/>
      <c r="AA79" s="7"/>
      <c r="AB79" s="7"/>
      <c r="AC79" s="7"/>
      <c r="AD79" s="7"/>
      <c r="AE79" s="7"/>
      <c r="AF79" s="7"/>
      <c r="AG79" s="7"/>
      <c r="AH79" s="7"/>
      <c r="AI79" s="7"/>
      <c r="AJ79" s="7"/>
      <c r="AK79" s="7"/>
      <c r="AL79" s="7"/>
      <c r="AM79" s="7"/>
      <c r="AN79" s="7"/>
    </row>
    <row r="80" spans="1:40">
      <c r="A80" s="7"/>
      <c r="B80" s="7"/>
      <c r="C80" s="7"/>
      <c r="D80" s="7"/>
      <c r="E80" s="7"/>
      <c r="F80" s="7"/>
      <c r="G80" s="7"/>
      <c r="H80" s="7"/>
      <c r="I80" s="7"/>
      <c r="J80" s="7"/>
      <c r="K80" s="7"/>
      <c r="U80" s="7"/>
      <c r="V80" s="7"/>
      <c r="W80" s="7"/>
      <c r="X80" s="7"/>
      <c r="Y80" s="7"/>
      <c r="Z80" s="7"/>
      <c r="AA80" s="7"/>
      <c r="AB80" s="7"/>
      <c r="AC80" s="7"/>
      <c r="AD80" s="7"/>
      <c r="AE80" s="7"/>
      <c r="AF80" s="7"/>
      <c r="AG80" s="7"/>
      <c r="AH80" s="7"/>
      <c r="AI80" s="7"/>
      <c r="AJ80" s="7"/>
      <c r="AK80" s="7"/>
      <c r="AL80" s="7"/>
      <c r="AM80" s="7"/>
      <c r="AN80" s="7"/>
    </row>
    <row r="81" spans="1:40">
      <c r="A81" s="7"/>
      <c r="B81" s="7"/>
      <c r="C81" s="7"/>
      <c r="D81" s="7"/>
      <c r="E81" s="7"/>
      <c r="F81" s="7"/>
      <c r="G81" s="7"/>
      <c r="H81" s="7"/>
      <c r="I81" s="7"/>
      <c r="J81" s="7"/>
      <c r="K81" s="7"/>
      <c r="U81" s="7"/>
      <c r="V81" s="7"/>
      <c r="W81" s="7"/>
      <c r="X81" s="7"/>
      <c r="Y81" s="7"/>
      <c r="Z81" s="7"/>
      <c r="AA81" s="7"/>
      <c r="AB81" s="7"/>
      <c r="AC81" s="7"/>
      <c r="AD81" s="7"/>
      <c r="AE81" s="7"/>
      <c r="AF81" s="7"/>
      <c r="AG81" s="7"/>
      <c r="AH81" s="7"/>
      <c r="AI81" s="7"/>
      <c r="AJ81" s="7"/>
      <c r="AK81" s="7"/>
      <c r="AL81" s="7"/>
      <c r="AM81" s="7"/>
      <c r="AN81" s="7"/>
    </row>
    <row r="82" spans="1:40">
      <c r="A82" s="7"/>
      <c r="B82" s="7"/>
      <c r="C82" s="7"/>
      <c r="D82" s="7"/>
      <c r="E82" s="7"/>
      <c r="F82" s="7"/>
      <c r="G82" s="7"/>
      <c r="H82" s="7"/>
      <c r="I82" s="7"/>
      <c r="J82" s="7"/>
      <c r="K82" s="7"/>
      <c r="U82" s="7"/>
      <c r="V82" s="7"/>
      <c r="W82" s="7"/>
      <c r="X82" s="7"/>
      <c r="Y82" s="7"/>
      <c r="Z82" s="7"/>
      <c r="AA82" s="7"/>
      <c r="AB82" s="7"/>
      <c r="AC82" s="7"/>
      <c r="AD82" s="7"/>
      <c r="AE82" s="7"/>
      <c r="AF82" s="7"/>
      <c r="AG82" s="7"/>
      <c r="AH82" s="7"/>
      <c r="AI82" s="7"/>
      <c r="AJ82" s="7"/>
      <c r="AK82" s="7"/>
      <c r="AL82" s="7"/>
      <c r="AM82" s="7"/>
      <c r="AN82" s="7"/>
    </row>
    <row r="83" spans="1:40">
      <c r="A83" s="7"/>
      <c r="B83" s="7"/>
      <c r="C83" s="7"/>
      <c r="D83" s="7"/>
      <c r="E83" s="7"/>
      <c r="F83" s="7"/>
      <c r="G83" s="7"/>
      <c r="H83" s="7"/>
      <c r="I83" s="7"/>
      <c r="J83" s="7"/>
      <c r="K83" s="7"/>
      <c r="U83" s="7"/>
      <c r="V83" s="7"/>
      <c r="W83" s="7"/>
      <c r="X83" s="7"/>
      <c r="Y83" s="7"/>
      <c r="Z83" s="7"/>
      <c r="AA83" s="7"/>
      <c r="AB83" s="7"/>
      <c r="AC83" s="7"/>
      <c r="AD83" s="7"/>
      <c r="AE83" s="7"/>
      <c r="AF83" s="7"/>
      <c r="AG83" s="7"/>
      <c r="AH83" s="7"/>
      <c r="AI83" s="7"/>
      <c r="AJ83" s="7"/>
      <c r="AK83" s="7"/>
      <c r="AL83" s="7"/>
      <c r="AM83" s="7"/>
      <c r="AN83" s="7"/>
    </row>
    <row r="84" spans="1:40">
      <c r="A84" s="7"/>
      <c r="B84" s="7"/>
      <c r="C84" s="7"/>
      <c r="D84" s="7"/>
      <c r="E84" s="7"/>
      <c r="F84" s="7"/>
      <c r="G84" s="7"/>
      <c r="H84" s="7"/>
      <c r="I84" s="7"/>
      <c r="J84" s="7"/>
      <c r="K84" s="7"/>
      <c r="U84" s="7"/>
      <c r="V84" s="7"/>
      <c r="W84" s="7"/>
      <c r="X84" s="7"/>
      <c r="Y84" s="7"/>
      <c r="Z84" s="7"/>
      <c r="AA84" s="7"/>
      <c r="AB84" s="7"/>
      <c r="AC84" s="7"/>
      <c r="AD84" s="7"/>
      <c r="AE84" s="7"/>
      <c r="AF84" s="7"/>
      <c r="AG84" s="7"/>
      <c r="AH84" s="7"/>
      <c r="AI84" s="7"/>
      <c r="AJ84" s="7"/>
      <c r="AK84" s="7"/>
      <c r="AL84" s="7"/>
      <c r="AM84" s="7"/>
      <c r="AN84" s="7"/>
    </row>
    <row r="85" spans="1:40">
      <c r="A85" s="7"/>
      <c r="B85" s="7"/>
      <c r="C85" s="7"/>
      <c r="D85" s="7"/>
      <c r="E85" s="7"/>
      <c r="F85" s="7"/>
      <c r="G85" s="7"/>
      <c r="H85" s="7"/>
      <c r="I85" s="7"/>
      <c r="J85" s="7"/>
      <c r="K85" s="7"/>
      <c r="U85" s="7"/>
      <c r="V85" s="7"/>
      <c r="W85" s="7"/>
      <c r="X85" s="7"/>
      <c r="Y85" s="7"/>
      <c r="Z85" s="7"/>
      <c r="AA85" s="7"/>
      <c r="AB85" s="7"/>
      <c r="AC85" s="7"/>
      <c r="AD85" s="7"/>
      <c r="AE85" s="7"/>
      <c r="AF85" s="7"/>
      <c r="AG85" s="7"/>
      <c r="AH85" s="7"/>
      <c r="AI85" s="7"/>
      <c r="AJ85" s="7"/>
      <c r="AK85" s="7"/>
      <c r="AL85" s="7"/>
      <c r="AM85" s="7"/>
      <c r="AN85" s="7"/>
    </row>
    <row r="86" spans="1:40">
      <c r="A86" s="7"/>
      <c r="B86" s="7"/>
      <c r="C86" s="7"/>
      <c r="D86" s="7"/>
      <c r="E86" s="7"/>
      <c r="F86" s="7"/>
      <c r="G86" s="7"/>
      <c r="H86" s="7"/>
      <c r="I86" s="7"/>
      <c r="J86" s="7"/>
      <c r="K86" s="7"/>
      <c r="U86" s="7"/>
      <c r="V86" s="7"/>
      <c r="W86" s="7"/>
      <c r="X86" s="7"/>
      <c r="Y86" s="7"/>
      <c r="Z86" s="7"/>
      <c r="AA86" s="7"/>
      <c r="AB86" s="7"/>
      <c r="AC86" s="7"/>
      <c r="AD86" s="7"/>
      <c r="AE86" s="7"/>
      <c r="AF86" s="7"/>
      <c r="AG86" s="7"/>
      <c r="AH86" s="7"/>
      <c r="AI86" s="7"/>
      <c r="AJ86" s="7"/>
      <c r="AK86" s="7"/>
      <c r="AL86" s="7"/>
      <c r="AM86" s="7"/>
      <c r="AN86" s="7"/>
    </row>
    <row r="87" spans="1:40">
      <c r="A87" s="7"/>
      <c r="B87" s="7"/>
      <c r="C87" s="7"/>
      <c r="D87" s="7"/>
      <c r="E87" s="7"/>
      <c r="F87" s="7"/>
      <c r="G87" s="7"/>
      <c r="H87" s="7"/>
      <c r="I87" s="7"/>
      <c r="J87" s="7"/>
      <c r="K87" s="7"/>
      <c r="U87" s="7"/>
      <c r="V87" s="7"/>
      <c r="W87" s="7"/>
      <c r="X87" s="7"/>
      <c r="Y87" s="7"/>
      <c r="Z87" s="7"/>
      <c r="AA87" s="7"/>
      <c r="AB87" s="7"/>
      <c r="AC87" s="7"/>
      <c r="AD87" s="7"/>
      <c r="AE87" s="7"/>
      <c r="AF87" s="7"/>
      <c r="AG87" s="7"/>
      <c r="AH87" s="7"/>
      <c r="AI87" s="7"/>
      <c r="AJ87" s="7"/>
      <c r="AK87" s="7"/>
      <c r="AL87" s="7"/>
      <c r="AM87" s="7"/>
      <c r="AN87" s="7"/>
    </row>
    <row r="88" spans="1:40">
      <c r="A88" s="7"/>
      <c r="B88" s="7"/>
      <c r="C88" s="7"/>
      <c r="D88" s="7"/>
      <c r="E88" s="7"/>
      <c r="F88" s="7"/>
      <c r="G88" s="7"/>
      <c r="H88" s="7"/>
      <c r="I88" s="7"/>
      <c r="J88" s="7"/>
      <c r="K88" s="7"/>
      <c r="U88" s="7"/>
      <c r="V88" s="7"/>
      <c r="W88" s="7"/>
      <c r="X88" s="7"/>
      <c r="Y88" s="7"/>
      <c r="Z88" s="7"/>
      <c r="AA88" s="7"/>
      <c r="AB88" s="7"/>
      <c r="AC88" s="7"/>
      <c r="AD88" s="7"/>
      <c r="AE88" s="7"/>
      <c r="AF88" s="7"/>
      <c r="AG88" s="7"/>
      <c r="AH88" s="7"/>
      <c r="AI88" s="7"/>
      <c r="AJ88" s="7"/>
      <c r="AK88" s="7"/>
      <c r="AL88" s="7"/>
      <c r="AM88" s="7"/>
      <c r="AN88" s="7"/>
    </row>
    <row r="89" spans="1:40">
      <c r="A89" s="7"/>
      <c r="B89" s="7"/>
      <c r="C89" s="7"/>
      <c r="D89" s="7"/>
      <c r="E89" s="7"/>
      <c r="F89" s="7"/>
      <c r="G89" s="7"/>
      <c r="H89" s="7"/>
      <c r="I89" s="7"/>
      <c r="J89" s="7"/>
      <c r="K89" s="7"/>
      <c r="U89" s="7"/>
      <c r="V89" s="7"/>
      <c r="W89" s="7"/>
      <c r="X89" s="7"/>
      <c r="Y89" s="7"/>
      <c r="Z89" s="7"/>
      <c r="AA89" s="7"/>
      <c r="AB89" s="7"/>
      <c r="AC89" s="7"/>
      <c r="AD89" s="7"/>
      <c r="AE89" s="7"/>
      <c r="AF89" s="7"/>
      <c r="AG89" s="7"/>
      <c r="AH89" s="7"/>
      <c r="AI89" s="7"/>
      <c r="AJ89" s="7"/>
      <c r="AK89" s="7"/>
      <c r="AL89" s="7"/>
      <c r="AM89" s="7"/>
      <c r="AN89" s="7"/>
    </row>
    <row r="90" spans="1:40">
      <c r="A90" s="7"/>
      <c r="B90" s="7"/>
      <c r="C90" s="7"/>
      <c r="D90" s="7"/>
      <c r="E90" s="7"/>
      <c r="F90" s="7"/>
      <c r="G90" s="7"/>
      <c r="H90" s="7"/>
      <c r="I90" s="7"/>
      <c r="J90" s="7"/>
      <c r="K90" s="7"/>
      <c r="U90" s="7"/>
      <c r="V90" s="7"/>
      <c r="W90" s="7"/>
      <c r="X90" s="7"/>
      <c r="Y90" s="7"/>
      <c r="Z90" s="7"/>
      <c r="AA90" s="7"/>
      <c r="AB90" s="7"/>
      <c r="AC90" s="7"/>
      <c r="AD90" s="7"/>
      <c r="AE90" s="7"/>
      <c r="AF90" s="7"/>
      <c r="AG90" s="7"/>
      <c r="AH90" s="7"/>
      <c r="AI90" s="7"/>
      <c r="AJ90" s="7"/>
      <c r="AK90" s="7"/>
      <c r="AL90" s="7"/>
      <c r="AM90" s="7"/>
      <c r="AN90" s="7"/>
    </row>
    <row r="91" spans="1:40">
      <c r="A91" s="7"/>
      <c r="B91" s="7"/>
      <c r="C91" s="7"/>
      <c r="D91" s="7"/>
      <c r="E91" s="7"/>
      <c r="F91" s="7"/>
      <c r="G91" s="7"/>
      <c r="H91" s="7"/>
      <c r="I91" s="7"/>
      <c r="J91" s="7"/>
      <c r="K91" s="7"/>
      <c r="U91" s="7"/>
      <c r="V91" s="7"/>
      <c r="W91" s="7"/>
      <c r="X91" s="7"/>
      <c r="Y91" s="7"/>
      <c r="Z91" s="7"/>
      <c r="AA91" s="7"/>
      <c r="AB91" s="7"/>
      <c r="AC91" s="7"/>
      <c r="AD91" s="7"/>
      <c r="AE91" s="7"/>
      <c r="AF91" s="7"/>
      <c r="AG91" s="7"/>
      <c r="AH91" s="7"/>
      <c r="AI91" s="7"/>
      <c r="AJ91" s="7"/>
      <c r="AK91" s="7"/>
      <c r="AL91" s="7"/>
      <c r="AM91" s="7"/>
      <c r="AN91" s="7"/>
    </row>
    <row r="92" spans="1:40">
      <c r="A92" s="7"/>
      <c r="B92" s="7"/>
      <c r="C92" s="7"/>
      <c r="D92" s="7"/>
      <c r="E92" s="7"/>
      <c r="F92" s="7"/>
      <c r="G92" s="7"/>
      <c r="H92" s="7"/>
      <c r="I92" s="7"/>
      <c r="J92" s="7"/>
      <c r="K92" s="7"/>
      <c r="U92" s="7"/>
      <c r="V92" s="7"/>
      <c r="W92" s="7"/>
      <c r="X92" s="7"/>
      <c r="Y92" s="7"/>
      <c r="Z92" s="7"/>
      <c r="AA92" s="7"/>
      <c r="AB92" s="7"/>
      <c r="AC92" s="7"/>
      <c r="AD92" s="7"/>
      <c r="AE92" s="7"/>
      <c r="AF92" s="7"/>
      <c r="AG92" s="7"/>
      <c r="AH92" s="7"/>
      <c r="AI92" s="7"/>
      <c r="AJ92" s="7"/>
      <c r="AK92" s="7"/>
      <c r="AL92" s="7"/>
      <c r="AM92" s="7"/>
      <c r="AN92" s="7"/>
    </row>
    <row r="93" spans="1:40">
      <c r="A93" s="7"/>
      <c r="B93" s="7"/>
      <c r="C93" s="7"/>
      <c r="D93" s="7"/>
      <c r="E93" s="7"/>
      <c r="F93" s="7"/>
      <c r="G93" s="7"/>
      <c r="H93" s="7"/>
      <c r="I93" s="7"/>
      <c r="J93" s="7"/>
      <c r="K93" s="7"/>
      <c r="U93" s="7"/>
      <c r="V93" s="7"/>
      <c r="W93" s="7"/>
      <c r="X93" s="7"/>
      <c r="Y93" s="7"/>
      <c r="Z93" s="7"/>
      <c r="AA93" s="7"/>
      <c r="AB93" s="7"/>
      <c r="AC93" s="7"/>
      <c r="AD93" s="7"/>
      <c r="AE93" s="7"/>
      <c r="AF93" s="7"/>
      <c r="AG93" s="7"/>
      <c r="AH93" s="7"/>
      <c r="AI93" s="7"/>
      <c r="AJ93" s="7"/>
      <c r="AK93" s="7"/>
      <c r="AL93" s="7"/>
      <c r="AM93" s="7"/>
      <c r="AN93" s="7"/>
    </row>
    <row r="94" spans="1:40">
      <c r="A94" s="7"/>
      <c r="B94" s="7"/>
      <c r="C94" s="7"/>
      <c r="D94" s="7"/>
      <c r="E94" s="7"/>
      <c r="F94" s="7"/>
      <c r="G94" s="7"/>
      <c r="H94" s="7"/>
      <c r="I94" s="7"/>
      <c r="J94" s="7"/>
      <c r="K94" s="7"/>
      <c r="U94" s="7"/>
      <c r="V94" s="7"/>
      <c r="W94" s="7"/>
      <c r="X94" s="7"/>
      <c r="Y94" s="7"/>
      <c r="Z94" s="7"/>
      <c r="AA94" s="7"/>
      <c r="AB94" s="7"/>
      <c r="AC94" s="7"/>
      <c r="AD94" s="7"/>
      <c r="AE94" s="7"/>
      <c r="AF94" s="7"/>
      <c r="AG94" s="7"/>
      <c r="AH94" s="7"/>
      <c r="AI94" s="7"/>
      <c r="AJ94" s="7"/>
      <c r="AK94" s="7"/>
      <c r="AL94" s="7"/>
      <c r="AM94" s="7"/>
      <c r="AN94" s="7"/>
    </row>
    <row r="95" spans="1:40">
      <c r="A95" s="7"/>
      <c r="B95" s="7"/>
      <c r="C95" s="7"/>
      <c r="D95" s="7"/>
      <c r="E95" s="7"/>
      <c r="F95" s="7"/>
      <c r="G95" s="7"/>
      <c r="H95" s="7"/>
      <c r="I95" s="7"/>
      <c r="J95" s="7"/>
      <c r="K95" s="7"/>
      <c r="U95" s="7"/>
      <c r="V95" s="7"/>
      <c r="W95" s="7"/>
      <c r="X95" s="7"/>
      <c r="Y95" s="7"/>
      <c r="Z95" s="7"/>
      <c r="AA95" s="7"/>
      <c r="AB95" s="7"/>
      <c r="AC95" s="7"/>
      <c r="AD95" s="7"/>
      <c r="AE95" s="7"/>
      <c r="AF95" s="7"/>
      <c r="AG95" s="7"/>
      <c r="AH95" s="7"/>
      <c r="AI95" s="7"/>
      <c r="AJ95" s="7"/>
      <c r="AK95" s="7"/>
      <c r="AL95" s="7"/>
      <c r="AM95" s="7"/>
      <c r="AN95" s="7"/>
    </row>
    <row r="96" spans="1:40">
      <c r="A96" s="7"/>
      <c r="B96" s="7"/>
      <c r="C96" s="7"/>
      <c r="D96" s="7"/>
      <c r="E96" s="7"/>
      <c r="F96" s="7"/>
      <c r="G96" s="7"/>
      <c r="H96" s="7"/>
      <c r="I96" s="7"/>
      <c r="K96" s="7"/>
      <c r="U96" s="7"/>
      <c r="V96" s="7"/>
      <c r="W96" s="7"/>
      <c r="X96" s="7"/>
      <c r="Y96" s="7"/>
      <c r="Z96" s="7"/>
      <c r="AA96" s="7"/>
      <c r="AB96" s="7"/>
      <c r="AC96" s="7"/>
      <c r="AD96" s="7"/>
      <c r="AE96" s="7"/>
      <c r="AF96" s="7"/>
      <c r="AG96" s="7"/>
      <c r="AH96" s="7"/>
      <c r="AI96" s="7"/>
      <c r="AJ96" s="7"/>
      <c r="AK96" s="7"/>
      <c r="AL96" s="7"/>
      <c r="AM96" s="7"/>
      <c r="AN96" s="7"/>
    </row>
    <row r="97" spans="21:40">
      <c r="U97" s="7"/>
      <c r="V97" s="7"/>
      <c r="W97" s="7"/>
      <c r="X97" s="7"/>
      <c r="Y97" s="7"/>
      <c r="Z97" s="7"/>
      <c r="AA97" s="7"/>
      <c r="AB97" s="7"/>
      <c r="AC97" s="7"/>
      <c r="AD97" s="7"/>
      <c r="AE97" s="7"/>
      <c r="AF97" s="7"/>
      <c r="AG97" s="7"/>
      <c r="AH97" s="7"/>
      <c r="AI97" s="7"/>
      <c r="AJ97" s="7"/>
      <c r="AK97" s="7"/>
      <c r="AL97" s="7"/>
      <c r="AM97" s="7"/>
      <c r="AN97" s="7"/>
    </row>
    <row r="98" spans="21:40">
      <c r="U98" s="7"/>
      <c r="AA98" s="7"/>
      <c r="AB98" s="7"/>
      <c r="AC98" s="7"/>
      <c r="AD98" s="7"/>
      <c r="AE98" s="7"/>
      <c r="AF98" s="7"/>
      <c r="AG98" s="7"/>
      <c r="AH98" s="7"/>
      <c r="AI98" s="7"/>
      <c r="AJ98" s="7"/>
      <c r="AK98" s="7"/>
      <c r="AL98" s="7"/>
      <c r="AM98" s="7"/>
      <c r="AN98" s="7"/>
    </row>
  </sheetData>
  <sheetProtection algorithmName="SHA-512" hashValue="bgmCtUiDexi+zpN64oCeO92pET3u2eXCbDvyi8HHQbRUvM0FD9twRBjNtJcRYL1qk631hxiXd1PuF1Q6zubg+g==" saltValue="/zsbqWxXlZgjQ0yiinvoEg==" spinCount="100000" sheet="1" objects="1" scenarios="1" selectLockedCells="1"/>
  <mergeCells count="36">
    <mergeCell ref="D17:E17"/>
    <mergeCell ref="H6:I6"/>
    <mergeCell ref="L8:S8"/>
    <mergeCell ref="D9:H9"/>
    <mergeCell ref="D11:H11"/>
    <mergeCell ref="D16:E16"/>
    <mergeCell ref="F30:G30"/>
    <mergeCell ref="D18:E18"/>
    <mergeCell ref="D19:E19"/>
    <mergeCell ref="D20:E20"/>
    <mergeCell ref="D21:E21"/>
    <mergeCell ref="D22:E22"/>
    <mergeCell ref="D23:E23"/>
    <mergeCell ref="D24:E24"/>
    <mergeCell ref="D25:E25"/>
    <mergeCell ref="D26:E26"/>
    <mergeCell ref="D27:E27"/>
    <mergeCell ref="D30:E30"/>
    <mergeCell ref="D31:E31"/>
    <mergeCell ref="F31:G31"/>
    <mergeCell ref="D32:E32"/>
    <mergeCell ref="F32:G32"/>
    <mergeCell ref="D35:E35"/>
    <mergeCell ref="F35:G35"/>
    <mergeCell ref="D47:E47"/>
    <mergeCell ref="D36:E36"/>
    <mergeCell ref="F36:G36"/>
    <mergeCell ref="D37:E37"/>
    <mergeCell ref="F37:G37"/>
    <mergeCell ref="D39:E39"/>
    <mergeCell ref="F39:G39"/>
    <mergeCell ref="D40:E40"/>
    <mergeCell ref="F40:G40"/>
    <mergeCell ref="D41:E41"/>
    <mergeCell ref="F41:G41"/>
    <mergeCell ref="D46:E46"/>
  </mergeCells>
  <conditionalFormatting sqref="D28:E28 E29">
    <cfRule type="expression" dxfId="84" priority="14">
      <formula>D$28=DeklGewichtOK</formula>
    </cfRule>
  </conditionalFormatting>
  <conditionalFormatting sqref="G13:I13">
    <cfRule type="expression" dxfId="83" priority="13">
      <formula>AnzAusblenden=TRUE</formula>
    </cfRule>
  </conditionalFormatting>
  <conditionalFormatting sqref="H38 H42:H48">
    <cfRule type="expression" dxfId="82" priority="12">
      <formula>AND(H38&lt;=1.01,H38&gt;=0.99)</formula>
    </cfRule>
  </conditionalFormatting>
  <conditionalFormatting sqref="D38:E38">
    <cfRule type="expression" dxfId="81" priority="11">
      <formula>D$38=DeklAnteilNotOK</formula>
    </cfRule>
  </conditionalFormatting>
  <conditionalFormatting sqref="I52:I55">
    <cfRule type="dataBar" priority="15">
      <dataBar>
        <cfvo type="min"/>
        <cfvo type="max"/>
        <color rgb="FF63C384"/>
      </dataBar>
      <extLst>
        <ext xmlns:x14="http://schemas.microsoft.com/office/spreadsheetml/2009/9/main" uri="{B025F937-C7B1-47D3-B67F-A62EFF666E3E}">
          <x14:id>{DBD6C3C9-081B-477D-9D0A-DDBE387A8DFE}</x14:id>
        </ext>
      </extLst>
    </cfRule>
  </conditionalFormatting>
  <conditionalFormatting sqref="I56">
    <cfRule type="dataBar" priority="16">
      <dataBar>
        <cfvo type="min"/>
        <cfvo type="max"/>
        <color rgb="FF63C384"/>
      </dataBar>
      <extLst>
        <ext xmlns:x14="http://schemas.microsoft.com/office/spreadsheetml/2009/9/main" uri="{B025F937-C7B1-47D3-B67F-A62EFF666E3E}">
          <x14:id>{98A22D3E-8B02-4DB5-B204-42A9B087CD33}</x14:id>
        </ext>
      </extLst>
    </cfRule>
  </conditionalFormatting>
  <conditionalFormatting sqref="D42">
    <cfRule type="expression" dxfId="80" priority="10">
      <formula>D$42=DeklAnteilNotOK</formula>
    </cfRule>
  </conditionalFormatting>
  <conditionalFormatting sqref="D46 D48">
    <cfRule type="expression" dxfId="79" priority="9">
      <formula>D$46=DeklMatEffNotOK</formula>
    </cfRule>
  </conditionalFormatting>
  <conditionalFormatting sqref="F48:G48 F46">
    <cfRule type="expression" dxfId="78" priority="8">
      <formula>F$46=DeklEnEinsatzNotOK</formula>
    </cfRule>
  </conditionalFormatting>
  <conditionalFormatting sqref="D35:H37">
    <cfRule type="expression" dxfId="77" priority="17">
      <formula>$T$38=TRUE</formula>
    </cfRule>
  </conditionalFormatting>
  <conditionalFormatting sqref="D39:H41">
    <cfRule type="expression" dxfId="76" priority="18">
      <formula>$T$42=TRUE</formula>
    </cfRule>
  </conditionalFormatting>
  <conditionalFormatting sqref="D45 F45:G45">
    <cfRule type="expression" dxfId="75" priority="19">
      <formula>$T$45=TRUE</formula>
    </cfRule>
  </conditionalFormatting>
  <conditionalFormatting sqref="D30:H32">
    <cfRule type="expression" dxfId="74" priority="20">
      <formula>$T$33=TRUE</formula>
    </cfRule>
  </conditionalFormatting>
  <conditionalFormatting sqref="F47:G47">
    <cfRule type="expression" dxfId="73" priority="5">
      <formula>F$46=DeklEnEinsatzNotOK</formula>
    </cfRule>
  </conditionalFormatting>
  <conditionalFormatting sqref="G46">
    <cfRule type="expression" dxfId="72" priority="3">
      <formula>G$46=DeklEnEinsatzNotOK</formula>
    </cfRule>
  </conditionalFormatting>
  <conditionalFormatting sqref="D47">
    <cfRule type="expression" dxfId="71" priority="2">
      <formula>D$46=DeklMatEffNotOK</formula>
    </cfRule>
  </conditionalFormatting>
  <conditionalFormatting sqref="D47">
    <cfRule type="expression" dxfId="70" priority="1">
      <formula>D$46=DeklEnEinsatzNotOK</formula>
    </cfRule>
  </conditionalFormatting>
  <dataValidations count="21">
    <dataValidation type="decimal" allowBlank="1" showInputMessage="1" showErrorMessage="1" errorTitle="Fehler" error="Sie müssen Werte zwischen 0 und 100% eingeben." promptTitle="Anteil" prompt="Geben Sie den Anteil des Energieträgers am gesamten Strommix in Prozenten ein. Die Summe aller Anteile muss 100% betragen." sqref="H35:H37 H39:H41" xr:uid="{42D62242-7954-4619-BD44-6BBA4413E48F}">
      <formula1>0</formula1>
      <formula2>1</formula2>
    </dataValidation>
    <dataValidation type="list" allowBlank="1" showInputMessage="1" showErrorMessage="1" promptTitle="Energieträger Wärme" prompt="Wählen Sie denjenigen Eintrag aus der Liste, welcher der verwendeten Wärmequelle am besten entspricht." sqref="F39:G41" xr:uid="{07DCE0A7-04B1-497D-8FE9-9639E0222DE1}">
      <formula1>LstWaerme</formula1>
    </dataValidation>
    <dataValidation type="list" allowBlank="1" showInputMessage="1" showErrorMessage="1" promptTitle="Energieträger Strom" prompt="Wählen Sie denjenigen Eintrag aus der Liste, welcher der verwendeten Stromquelle bzw. dem Strommix am besten entspricht." sqref="F35:G37" xr:uid="{8E5FFA0D-C82F-4084-8659-72291C14E9D7}">
      <formula1>LstStrom</formula1>
    </dataValidation>
    <dataValidation allowBlank="1" showInputMessage="1" showErrorMessage="1" promptTitle="Bezeichnung Strom" prompt="Geben Sie hier einen Text zur Bezeichnung der Stromquelle oder der Stromart ein (z.B. &quot;EON Aquamix&quot; oder &quot;Strom ab PV-Anlage Werk 3&quot;)" sqref="D35:E37" xr:uid="{6EE7B235-473F-4F66-A8BD-8560DFDA35B0}"/>
    <dataValidation type="list" allowBlank="1" showInputMessage="1" showErrorMessage="1" sqref="G28" xr:uid="{69F34952-C135-4629-B988-86BFD1A2CF2A}">
      <formula1>INDIRECT($F28)</formula1>
    </dataValidation>
    <dataValidation type="list" allowBlank="1" showInputMessage="1" showErrorMessage="1" sqref="F28" xr:uid="{7536650F-BD0F-4380-B569-4463EC5AE536}">
      <formula1>RSart</formula1>
    </dataValidation>
    <dataValidation allowBlank="1" showInputMessage="1" showErrorMessage="1" promptTitle="Bezeichnung" prompt="Geben Sie hier ein, um welches Teil des Möbels es sich handelt (z.B. Beschlag Schublade)." sqref="D16:D27" xr:uid="{24EAD7D1-998C-4DB7-A975-E0FDC754BEFF}"/>
    <dataValidation type="list" allowBlank="1" showInputMessage="1" showErrorMessage="1" errorTitle="Fehler" error="Sie müssen einen Wert aus der Liste wählen." promptTitle="Gruppe" prompt="Wählen Sie eine Materialgruppe aus. " sqref="F16:F27" xr:uid="{09C4BD78-BA43-4B8F-81C5-2F2FF84D8E80}">
      <formula1>RSart</formula1>
    </dataValidation>
    <dataValidation type="list" allowBlank="1" showInputMessage="1" showErrorMessage="1" errorTitle="Fehler" error="Sie müssen einen Eintrag aus der Liste wählen." promptTitle="Material" prompt="Wählen Sie ein Material aus der Liste. Die Listeneinträge sind je nach gewählter Gruppe unterschiedlich." sqref="G16:G27" xr:uid="{AB6D8973-2122-4B9A-976E-AC2917EF61F3}">
      <formula1>INDIRECT($F16)</formula1>
    </dataValidation>
    <dataValidation type="decimal" allowBlank="1" showInputMessage="1" showErrorMessage="1" errorTitle="Fehler" error="Es sind nur Werte zwischen 0 und 99999 zulässig." promptTitle="Menge" prompt="Geben Sie hier das Gewicht des im Produkt verwendeten Materials ein. Es sind nur positive Werte zulässig." sqref="H16:H27" xr:uid="{2C6AEF85-0E7E-4167-B3E3-20452FC52E55}">
      <formula1>0</formula1>
      <formula2>99999</formula2>
    </dataValidation>
    <dataValidation type="decimal" allowBlank="1" showInputMessage="1" showErrorMessage="1" errorTitle="Fehler" error="Es sind nur Werte zwischen 0 und 99999 zulässig." promptTitle="Nettogewicht" prompt="Geben Sie hier das Nettogewicht des Produkts in kg pro Stück ein. Der Wert sollte möglichst genau dem deklarierten Gesamtgewicht entsprechen." sqref="D13" xr:uid="{6EAFF09A-E1C1-4FBD-87CA-43ABDEAADA7E}">
      <formula1>0</formula1>
      <formula2>99999</formula2>
    </dataValidation>
    <dataValidation type="whole" allowBlank="1" showInputMessage="1" showErrorMessage="1" errorTitle="Fehler" error="Es sind nur ganzzahlige Werte zwischen 0 und 99999 zulässig." promptTitle="Anzahl" prompt="Geben Sie hier die angebotene Gesamtanzahl des Produkts ein." sqref="H13" xr:uid="{759893F0-4C8A-42FD-A5C7-EDF749CCB59F}">
      <formula1>0</formula1>
      <formula2>99999</formula2>
    </dataValidation>
    <dataValidation allowBlank="1" showInputMessage="1" showErrorMessage="1" promptTitle="Bemerkungen" prompt="Verwenden Sie dieses Feld für Ihre Bemerkungen." sqref="D11:H11" xr:uid="{F5D4E05E-862D-4B17-A27F-0FA36DF13760}"/>
    <dataValidation allowBlank="1" showInputMessage="1" showErrorMessage="1" promptTitle="Bezeichnung" prompt="Geben Sie hier eine eindeutige Produktbezeichnung ein. Fassen Sie ähnliche Produkte möglichst zusammen." sqref="D9:H9" xr:uid="{8B78E020-4C3B-47E7-A4D2-49FB5BB781DD}"/>
    <dataValidation allowBlank="1" showInputMessage="1" showErrorMessage="1" promptTitle="Bezeichnung" prompt="Bitte geben Sie an, um welche Transportleistung es sich handelt (z.B. Fabrik Genf - Zürich, LKW)" sqref="D30:D32" xr:uid="{FB746EC0-C9A4-4FB3-9201-6B6FA5983907}"/>
    <dataValidation type="list" allowBlank="1" showInputMessage="1" showErrorMessage="1" promptTitle="Transportmittel" prompt="Wählen Sie ein Transportmittel aus der Liste." sqref="F30:G32" xr:uid="{8C358678-14FC-46EC-BC88-6B7F616ED541}">
      <formula1>Transporte</formula1>
    </dataValidation>
    <dataValidation type="whole" allowBlank="1" showInputMessage="1" showErrorMessage="1" errorTitle="Fehler" error="Sie müssen ganzzahlige Werte zwischen 0 und 99999 eingeben." promptTitle="Transportdistanz" prompt="Geben Sie die Distanz zwischen Produktionsort und Ort des Kunden in km ein. Falls verschiedene Transportmittel verwendet werden, erfassen Sie diese separat." sqref="H30:H32" xr:uid="{9D09D541-1F86-4217-9E9C-A8092D5F08A4}">
      <formula1>0</formula1>
      <formula2>99999</formula2>
    </dataValidation>
    <dataValidation type="decimal" allowBlank="1" showInputMessage="1" showErrorMessage="1" promptTitle="Materialeffizienz" prompt="Geben Sie hier ein, in welchem Verhältnis Materialinput zu Produktionsoutput stehen (übliche Werte liegen zwischen 70 und 90%). Wenn Sie das Feld leer lassen, werden automatisch Defaultwerte verwendet." sqref="D45" xr:uid="{1E5392D6-8C38-4B16-94A6-76E7AFAFEB80}">
      <formula1>0</formula1>
      <formula2>1</formula2>
    </dataValidation>
    <dataValidation type="decimal" allowBlank="1" showInputMessage="1" showErrorMessage="1" errorTitle="Fehler" error="Sie müssen Werte zwischen 0 und 999 kWh/kg eingeben." promptTitle="Energie Strom" prompt="Geben Sie hier den Wert für den verbrauchten Strom in kWh pro produziertes kg dieses Produkts ein (Werte für die gesamte Produktepalette im Blatt Start erfassen). Wenn Sie das Feld leer lassen, wird automatisch ein Defaultwert verwendet." sqref="F45" xr:uid="{162EFEB1-BCFE-4708-94C9-90607C7713F9}">
      <formula1>0</formula1>
      <formula2>999</formula2>
    </dataValidation>
    <dataValidation type="decimal" allowBlank="1" showInputMessage="1" showErrorMessage="1" errorTitle="Fehler" error="Sie müssen Werte zwischen 0 und 999 kWh/kg eingeben." promptTitle="Energie Wärme" prompt="Geben Sie hier den Wert für die verbrauchte Wärmeenergie in kWh pro produziertes kg dieses Produkts ein (Werte für die gesamte Produktepalette im Blatt Start erfassen). Wenn Sie das Feld leer lassen, wird automatisch ein Defaultwert verwendet." sqref="G45" xr:uid="{7A904D87-6F04-4E0F-B6CF-6471A2794F85}">
      <formula1>0</formula1>
      <formula2>999</formula2>
    </dataValidation>
    <dataValidation allowBlank="1" showInputMessage="1" showErrorMessage="1" sqref="F29:G29" xr:uid="{9080D033-44F5-4A05-9A58-C5F8AAEC24B1}"/>
  </dataValidations>
  <pageMargins left="0.23622047244094491" right="0.15748031496062992" top="0.94488188976377963" bottom="0.74803149606299213" header="0.31496062992125984" footer="0.31496062992125984"/>
  <pageSetup paperSize="9" scale="67" fitToHeight="0" orientation="portrait" r:id="rId1"/>
  <headerFooter>
    <oddHeader>&amp;L&amp;G</oddHeader>
    <oddFooter>&amp;L&amp;"Roboto,Standard"&amp;9&amp;D&amp;R&amp;"Roboto,Standard"&amp;9&amp;F</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8193" r:id="rId5" name="Check Box 1">
              <controlPr defaultSize="0" autoFill="0" autoLine="0" autoPict="0" altText="Identisch zu den Angaben auf dem Blatt &quot;Start&quot;">
                <anchor moveWithCells="1">
                  <from>
                    <xdr:col>1</xdr:col>
                    <xdr:colOff>219075</xdr:colOff>
                    <xdr:row>43</xdr:row>
                    <xdr:rowOff>200025</xdr:rowOff>
                  </from>
                  <to>
                    <xdr:col>2</xdr:col>
                    <xdr:colOff>1857375</xdr:colOff>
                    <xdr:row>44</xdr:row>
                    <xdr:rowOff>200025</xdr:rowOff>
                  </to>
                </anchor>
              </controlPr>
            </control>
          </mc:Choice>
        </mc:AlternateContent>
        <mc:AlternateContent xmlns:mc="http://schemas.openxmlformats.org/markup-compatibility/2006">
          <mc:Choice Requires="x14">
            <control shapeId="8194" r:id="rId6" name="Check Box 2">
              <controlPr defaultSize="0" autoFill="0" autoLine="0" autoPict="0" altText="Identisch zu den Angaben auf dem Blatt &quot;Start&quot;">
                <anchor moveWithCells="1">
                  <from>
                    <xdr:col>1</xdr:col>
                    <xdr:colOff>209550</xdr:colOff>
                    <xdr:row>34</xdr:row>
                    <xdr:rowOff>171450</xdr:rowOff>
                  </from>
                  <to>
                    <xdr:col>2</xdr:col>
                    <xdr:colOff>1847850</xdr:colOff>
                    <xdr:row>36</xdr:row>
                    <xdr:rowOff>47625</xdr:rowOff>
                  </to>
                </anchor>
              </controlPr>
            </control>
          </mc:Choice>
        </mc:AlternateContent>
        <mc:AlternateContent xmlns:mc="http://schemas.openxmlformats.org/markup-compatibility/2006">
          <mc:Choice Requires="x14">
            <control shapeId="8195" r:id="rId7" name="Check Box 3">
              <controlPr defaultSize="0" autoFill="0" autoLine="0" autoPict="0" altText="Identisch zu den Angaben auf dem Blatt &quot;Start&quot;">
                <anchor moveWithCells="1">
                  <from>
                    <xdr:col>1</xdr:col>
                    <xdr:colOff>209550</xdr:colOff>
                    <xdr:row>38</xdr:row>
                    <xdr:rowOff>142875</xdr:rowOff>
                  </from>
                  <to>
                    <xdr:col>2</xdr:col>
                    <xdr:colOff>1838325</xdr:colOff>
                    <xdr:row>40</xdr:row>
                    <xdr:rowOff>47625</xdr:rowOff>
                  </to>
                </anchor>
              </controlPr>
            </control>
          </mc:Choice>
        </mc:AlternateContent>
        <mc:AlternateContent xmlns:mc="http://schemas.openxmlformats.org/markup-compatibility/2006">
          <mc:Choice Requires="x14">
            <control shapeId="8196" r:id="rId8" name="Check Box 4">
              <controlPr defaultSize="0" autoFill="0" autoLine="0" autoPict="0" altText="Identisch zu den Angaben auf dem Blatt &quot;Start&quot;">
                <anchor moveWithCells="1">
                  <from>
                    <xdr:col>1</xdr:col>
                    <xdr:colOff>219075</xdr:colOff>
                    <xdr:row>30</xdr:row>
                    <xdr:rowOff>161925</xdr:rowOff>
                  </from>
                  <to>
                    <xdr:col>2</xdr:col>
                    <xdr:colOff>1857375</xdr:colOff>
                    <xdr:row>32</xdr:row>
                    <xdr:rowOff>19050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DBD6C3C9-081B-477D-9D0A-DDBE387A8DFE}">
            <x14:dataBar minLength="0" maxLength="100" border="1" negativeBarBorderColorSameAsPositive="0">
              <x14:cfvo type="autoMin"/>
              <x14:cfvo type="autoMax"/>
              <x14:borderColor rgb="FF63C384"/>
              <x14:negativeFillColor rgb="FFFF0000"/>
              <x14:negativeBorderColor rgb="FFFF0000"/>
              <x14:axisColor rgb="FF000000"/>
            </x14:dataBar>
          </x14:cfRule>
          <xm:sqref>I52:I55</xm:sqref>
        </x14:conditionalFormatting>
        <x14:conditionalFormatting xmlns:xm="http://schemas.microsoft.com/office/excel/2006/main">
          <x14:cfRule type="dataBar" id="{98A22D3E-8B02-4DB5-B204-42A9B087CD33}">
            <x14:dataBar minLength="0" maxLength="100" border="1" negativeBarBorderColorSameAsPositive="0">
              <x14:cfvo type="autoMin"/>
              <x14:cfvo type="autoMax"/>
              <x14:borderColor rgb="FF63C384"/>
              <x14:negativeFillColor rgb="FFFF0000"/>
              <x14:negativeBorderColor rgb="FFFF0000"/>
              <x14:axisColor rgb="FF000000"/>
            </x14:dataBar>
          </x14:cfRule>
          <xm:sqref>I56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2FC3D-BD89-47D2-9D21-A6BEED46C939}">
  <sheetPr>
    <pageSetUpPr autoPageBreaks="0" fitToPage="1"/>
  </sheetPr>
  <dimension ref="A1:AN98"/>
  <sheetViews>
    <sheetView showGridLines="0" zoomScale="87" zoomScaleNormal="87" workbookViewId="0">
      <selection activeCell="D9" sqref="D9:H9"/>
    </sheetView>
  </sheetViews>
  <sheetFormatPr baseColWidth="10" defaultColWidth="11.42578125" defaultRowHeight="15"/>
  <cols>
    <col min="1" max="1" width="2.5703125" style="146" customWidth="1"/>
    <col min="2" max="2" width="3.42578125" style="146" customWidth="1"/>
    <col min="3" max="3" width="31.140625" style="146" customWidth="1"/>
    <col min="4" max="4" width="18" style="146" customWidth="1"/>
    <col min="5" max="5" width="23.28515625" style="146" customWidth="1"/>
    <col min="6" max="7" width="26.28515625" style="146" customWidth="1"/>
    <col min="8" max="8" width="14" style="146" customWidth="1"/>
    <col min="9" max="9" width="6.140625" style="146" customWidth="1"/>
    <col min="10" max="10" width="18.5703125" style="146" customWidth="1"/>
    <col min="11" max="11" width="24.42578125" style="146" hidden="1" customWidth="1"/>
    <col min="12" max="12" width="21.5703125" style="146" hidden="1" customWidth="1"/>
    <col min="13" max="19" width="16.7109375" style="146" hidden="1" customWidth="1"/>
    <col min="20" max="20" width="24.5703125" style="146" hidden="1" customWidth="1"/>
    <col min="21" max="16384" width="11.42578125" style="146"/>
  </cols>
  <sheetData>
    <row r="1" spans="1:40" s="6" customFormat="1">
      <c r="A1" s="7"/>
      <c r="B1" s="7"/>
      <c r="C1" s="9"/>
      <c r="D1" s="9"/>
      <c r="E1" s="9"/>
      <c r="F1" s="9"/>
      <c r="G1" s="9"/>
      <c r="H1" s="9"/>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row>
    <row r="2" spans="1:40" s="6" customFormat="1">
      <c r="A2" s="7"/>
      <c r="B2" s="7"/>
      <c r="C2" s="9"/>
      <c r="D2" s="9"/>
      <c r="E2" s="9"/>
      <c r="F2" s="9"/>
      <c r="G2" s="9"/>
      <c r="H2" s="9"/>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row>
    <row r="3" spans="1:40" s="6" customFormat="1">
      <c r="A3" s="7"/>
      <c r="B3" s="7"/>
      <c r="C3" s="9"/>
      <c r="D3" s="9"/>
      <c r="E3" s="9"/>
      <c r="F3" s="9"/>
      <c r="G3" s="9"/>
      <c r="H3" s="9"/>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row>
    <row r="4" spans="1:40" s="6" customFormat="1" ht="12" customHeight="1">
      <c r="A4" s="7"/>
      <c r="B4" s="7"/>
      <c r="C4" s="9"/>
      <c r="D4" s="9"/>
      <c r="E4" s="9"/>
      <c r="F4" s="9"/>
      <c r="G4" s="9"/>
      <c r="H4" s="9"/>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row>
    <row r="5" spans="1:40" s="6" customFormat="1">
      <c r="A5" s="7"/>
      <c r="B5" s="7"/>
      <c r="C5" s="9"/>
      <c r="D5" s="9"/>
      <c r="E5" s="9"/>
      <c r="F5" s="9"/>
      <c r="G5" s="9"/>
      <c r="H5" s="9"/>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row>
    <row r="6" spans="1:40" s="340" customFormat="1" ht="25.5" customHeight="1">
      <c r="A6" s="336"/>
      <c r="B6" s="11"/>
      <c r="C6" s="337" t="s">
        <v>34</v>
      </c>
      <c r="D6" s="339"/>
      <c r="E6" s="339"/>
      <c r="F6" s="339"/>
      <c r="G6" s="338" t="str">
        <f>"Version "&amp;Version</f>
        <v>Version 1.3</v>
      </c>
      <c r="H6" s="471">
        <f>VersionsDatum</f>
        <v>45229</v>
      </c>
      <c r="I6" s="471"/>
      <c r="J6" s="336"/>
      <c r="K6" s="242" t="s">
        <v>235</v>
      </c>
      <c r="L6" s="11"/>
      <c r="M6" s="11"/>
      <c r="N6" s="11"/>
      <c r="O6" s="11"/>
      <c r="P6" s="11"/>
      <c r="Q6" s="11"/>
      <c r="R6" s="11"/>
      <c r="S6" s="11"/>
      <c r="T6" s="11"/>
      <c r="U6" s="336"/>
      <c r="V6" s="336"/>
      <c r="W6" s="336"/>
      <c r="X6" s="336"/>
      <c r="Y6" s="336"/>
      <c r="Z6" s="336"/>
      <c r="AA6" s="336"/>
      <c r="AB6" s="336"/>
      <c r="AC6" s="336"/>
      <c r="AD6" s="336"/>
      <c r="AE6" s="336"/>
      <c r="AF6" s="336"/>
      <c r="AG6" s="336"/>
      <c r="AH6" s="336"/>
      <c r="AI6" s="336"/>
      <c r="AJ6" s="336"/>
      <c r="AK6" s="336"/>
      <c r="AL6" s="336"/>
      <c r="AM6" s="336"/>
      <c r="AN6" s="336"/>
    </row>
    <row r="7" spans="1:40" s="6" customFormat="1" ht="4.5" customHeight="1" thickBot="1">
      <c r="A7" s="7"/>
      <c r="B7" s="268"/>
      <c r="C7" s="268"/>
      <c r="D7" s="268"/>
      <c r="E7" s="268"/>
      <c r="F7" s="268"/>
      <c r="G7" s="268"/>
      <c r="H7" s="268"/>
      <c r="I7" s="268"/>
      <c r="J7" s="7"/>
      <c r="K7" s="11"/>
      <c r="L7" s="11"/>
      <c r="M7" s="11"/>
      <c r="N7" s="11"/>
      <c r="O7" s="11"/>
      <c r="P7" s="11"/>
      <c r="Q7" s="11"/>
      <c r="R7" s="11"/>
      <c r="S7" s="11"/>
      <c r="T7" s="11"/>
      <c r="U7" s="7"/>
      <c r="V7" s="7"/>
      <c r="W7" s="7"/>
      <c r="X7" s="7"/>
      <c r="Y7" s="7"/>
      <c r="Z7" s="7"/>
      <c r="AA7" s="7"/>
      <c r="AB7" s="7"/>
      <c r="AC7" s="7"/>
      <c r="AD7" s="7"/>
      <c r="AE7" s="7"/>
      <c r="AF7" s="7"/>
      <c r="AG7" s="7"/>
      <c r="AH7" s="7"/>
      <c r="AI7" s="7"/>
      <c r="AJ7" s="7"/>
      <c r="AK7" s="7"/>
      <c r="AL7" s="7"/>
      <c r="AM7" s="7"/>
      <c r="AN7" s="7"/>
    </row>
    <row r="8" spans="1:40" s="6" customFormat="1" ht="27" customHeight="1">
      <c r="A8" s="7"/>
      <c r="B8" s="11"/>
      <c r="C8" s="233" t="str">
        <f>"Produkt 3"&amp;IF(D9&lt;&gt;"",": "&amp;D9,"")</f>
        <v>Produkt 3</v>
      </c>
      <c r="D8" s="233"/>
      <c r="E8" s="233"/>
      <c r="F8" s="14"/>
      <c r="G8" s="13"/>
      <c r="H8" s="232" t="b">
        <f>IF(AND(COUNTA(F$16:F$27)&gt;0,COUNTA(G$16:G$27)&gt;0,SUM(H$16:H$27)&gt;0),TRUE,FALSE)</f>
        <v>0</v>
      </c>
      <c r="I8" s="13"/>
      <c r="J8" s="7"/>
      <c r="K8" s="236" t="s">
        <v>56</v>
      </c>
      <c r="L8" s="475" t="s">
        <v>172</v>
      </c>
      <c r="M8" s="476"/>
      <c r="N8" s="476"/>
      <c r="O8" s="476"/>
      <c r="P8" s="476"/>
      <c r="Q8" s="476"/>
      <c r="R8" s="476"/>
      <c r="S8" s="476"/>
      <c r="T8" s="265"/>
      <c r="U8" s="7"/>
      <c r="V8" s="7"/>
      <c r="W8" s="7"/>
      <c r="X8" s="7"/>
      <c r="Y8" s="7"/>
      <c r="Z8" s="7"/>
      <c r="AA8" s="7"/>
      <c r="AB8" s="7"/>
      <c r="AC8" s="7"/>
      <c r="AD8" s="7"/>
      <c r="AE8" s="7"/>
      <c r="AF8" s="7"/>
      <c r="AG8" s="7"/>
      <c r="AH8" s="7"/>
      <c r="AI8" s="7"/>
      <c r="AJ8" s="7"/>
      <c r="AK8" s="7"/>
      <c r="AL8" s="7"/>
      <c r="AM8" s="7"/>
      <c r="AN8" s="7"/>
    </row>
    <row r="9" spans="1:40" s="6" customFormat="1" ht="18" customHeight="1">
      <c r="A9" s="7"/>
      <c r="B9" s="11"/>
      <c r="C9" s="148" t="s">
        <v>56</v>
      </c>
      <c r="D9" s="474"/>
      <c r="E9" s="474"/>
      <c r="F9" s="474"/>
      <c r="G9" s="474"/>
      <c r="H9" s="474"/>
      <c r="I9" s="71"/>
      <c r="J9" s="149"/>
      <c r="K9" s="234" t="s">
        <v>375</v>
      </c>
      <c r="L9" s="397">
        <f>Start!Y40</f>
        <v>598.54</v>
      </c>
      <c r="M9" s="145"/>
      <c r="N9" s="384">
        <f>Start!Z40</f>
        <v>0.63600000000000001</v>
      </c>
      <c r="O9" s="145"/>
      <c r="P9" s="384">
        <f>Start!AA40</f>
        <v>1.7452799999999999</v>
      </c>
      <c r="Q9" s="145"/>
      <c r="R9" s="400">
        <f>Start!AB40</f>
        <v>0.32163999999999998</v>
      </c>
      <c r="S9" s="145"/>
      <c r="T9" s="145"/>
      <c r="U9" s="7"/>
      <c r="V9" s="7"/>
      <c r="W9" s="7"/>
      <c r="X9" s="7"/>
      <c r="Y9" s="7"/>
      <c r="Z9" s="7"/>
      <c r="AA9" s="7"/>
      <c r="AB9" s="7"/>
      <c r="AC9" s="7"/>
      <c r="AD9" s="7"/>
      <c r="AE9" s="7"/>
      <c r="AF9" s="7"/>
      <c r="AG9" s="7"/>
      <c r="AH9" s="7"/>
      <c r="AI9" s="7"/>
      <c r="AJ9" s="7"/>
      <c r="AK9" s="7"/>
      <c r="AL9" s="7"/>
      <c r="AM9" s="7"/>
      <c r="AN9" s="7"/>
    </row>
    <row r="10" spans="1:40" s="6" customFormat="1" ht="6" customHeight="1">
      <c r="A10" s="7"/>
      <c r="B10" s="11"/>
      <c r="C10" s="148"/>
      <c r="D10" s="71"/>
      <c r="E10" s="71"/>
      <c r="F10" s="71"/>
      <c r="G10" s="71"/>
      <c r="H10" s="71"/>
      <c r="I10" s="71"/>
      <c r="J10" s="149"/>
      <c r="K10" s="234"/>
      <c r="L10" s="237"/>
      <c r="M10" s="145"/>
      <c r="N10" s="145"/>
      <c r="O10" s="145"/>
      <c r="P10" s="145"/>
      <c r="Q10" s="145"/>
      <c r="R10" s="145"/>
      <c r="S10" s="145"/>
      <c r="T10" s="145"/>
      <c r="U10" s="7"/>
      <c r="V10" s="7"/>
      <c r="W10" s="7"/>
      <c r="X10" s="7"/>
      <c r="Y10" s="7"/>
      <c r="Z10" s="7"/>
      <c r="AA10" s="7"/>
      <c r="AB10" s="7"/>
      <c r="AC10" s="7"/>
      <c r="AD10" s="7"/>
      <c r="AE10" s="7"/>
      <c r="AF10" s="7"/>
      <c r="AG10" s="7"/>
      <c r="AH10" s="7"/>
      <c r="AI10" s="7"/>
      <c r="AJ10" s="7"/>
      <c r="AK10" s="7"/>
      <c r="AL10" s="7"/>
      <c r="AM10" s="7"/>
      <c r="AN10" s="7"/>
    </row>
    <row r="11" spans="1:40" s="6" customFormat="1" ht="18" customHeight="1" thickBot="1">
      <c r="A11" s="7"/>
      <c r="B11" s="11"/>
      <c r="C11" s="148" t="s">
        <v>57</v>
      </c>
      <c r="D11" s="474"/>
      <c r="E11" s="474"/>
      <c r="F11" s="474"/>
      <c r="G11" s="474"/>
      <c r="H11" s="474"/>
      <c r="I11" s="71"/>
      <c r="J11" s="149"/>
      <c r="K11" s="248" t="s">
        <v>376</v>
      </c>
      <c r="L11" s="398">
        <f>Start!Y42</f>
        <v>295.74</v>
      </c>
      <c r="M11" s="240"/>
      <c r="N11" s="399">
        <f>Start!Z42</f>
        <v>5.2900000000000004E-3</v>
      </c>
      <c r="O11" s="240"/>
      <c r="P11" s="399">
        <f>Start!AA42</f>
        <v>1.0708599999999999</v>
      </c>
      <c r="Q11" s="240"/>
      <c r="R11" s="401">
        <f>Start!AB42</f>
        <v>0.24480000000000005</v>
      </c>
      <c r="S11" s="240"/>
      <c r="T11" s="240"/>
      <c r="U11" s="7"/>
      <c r="V11" s="7"/>
      <c r="W11" s="7"/>
      <c r="X11" s="7"/>
      <c r="Y11" s="7"/>
      <c r="Z11" s="7"/>
      <c r="AA11" s="7"/>
      <c r="AB11" s="7"/>
      <c r="AC11" s="7"/>
      <c r="AD11" s="7"/>
      <c r="AE11" s="7"/>
      <c r="AF11" s="7"/>
      <c r="AG11" s="7"/>
      <c r="AH11" s="7"/>
      <c r="AI11" s="7"/>
      <c r="AJ11" s="7"/>
      <c r="AK11" s="7"/>
      <c r="AL11" s="7"/>
      <c r="AM11" s="7"/>
      <c r="AN11" s="7"/>
    </row>
    <row r="12" spans="1:40" s="6" customFormat="1" ht="6" customHeight="1">
      <c r="A12" s="7"/>
      <c r="B12" s="11"/>
      <c r="C12" s="148"/>
      <c r="D12" s="71"/>
      <c r="E12" s="71"/>
      <c r="F12" s="71"/>
      <c r="G12" s="71"/>
      <c r="H12" s="71"/>
      <c r="I12" s="71"/>
      <c r="J12" s="149"/>
      <c r="K12" s="234"/>
      <c r="L12" s="238"/>
      <c r="M12" s="10"/>
      <c r="N12" s="10"/>
      <c r="O12" s="10"/>
      <c r="P12" s="10"/>
      <c r="Q12" s="10"/>
      <c r="R12" s="10"/>
      <c r="S12" s="10"/>
      <c r="T12" s="10"/>
      <c r="U12" s="7"/>
      <c r="V12" s="7"/>
      <c r="W12" s="7"/>
      <c r="X12" s="7"/>
      <c r="Y12" s="7"/>
      <c r="Z12" s="7"/>
      <c r="AA12" s="7"/>
      <c r="AB12" s="7"/>
      <c r="AC12" s="7"/>
      <c r="AD12" s="7"/>
      <c r="AE12" s="7"/>
      <c r="AF12" s="7"/>
      <c r="AG12" s="7"/>
      <c r="AH12" s="7"/>
      <c r="AI12" s="7"/>
      <c r="AJ12" s="7"/>
      <c r="AK12" s="7"/>
      <c r="AL12" s="7"/>
      <c r="AM12" s="7"/>
      <c r="AN12" s="7"/>
    </row>
    <row r="13" spans="1:40" s="6" customFormat="1" ht="18" customHeight="1">
      <c r="A13" s="7"/>
      <c r="B13" s="11"/>
      <c r="C13" s="148" t="s">
        <v>163</v>
      </c>
      <c r="D13" s="259"/>
      <c r="E13" s="148" t="s">
        <v>226</v>
      </c>
      <c r="F13" s="148"/>
      <c r="G13" s="264" t="s">
        <v>168</v>
      </c>
      <c r="H13" s="266">
        <v>1</v>
      </c>
      <c r="I13" s="148" t="s">
        <v>169</v>
      </c>
      <c r="J13" s="149"/>
      <c r="K13" s="234" t="s">
        <v>157</v>
      </c>
      <c r="L13" s="356" t="s">
        <v>148</v>
      </c>
      <c r="M13" s="235" t="s">
        <v>149</v>
      </c>
      <c r="N13" s="235" t="s">
        <v>334</v>
      </c>
      <c r="O13" s="235" t="s">
        <v>335</v>
      </c>
      <c r="P13" s="235" t="s">
        <v>150</v>
      </c>
      <c r="Q13" s="235" t="s">
        <v>151</v>
      </c>
      <c r="R13" s="235" t="s">
        <v>152</v>
      </c>
      <c r="S13" s="235" t="s">
        <v>153</v>
      </c>
      <c r="T13" s="235" t="s">
        <v>268</v>
      </c>
      <c r="U13" s="7"/>
      <c r="V13" s="7"/>
      <c r="W13" s="7"/>
      <c r="X13" s="7"/>
      <c r="Y13" s="7"/>
      <c r="Z13" s="7"/>
      <c r="AA13" s="7"/>
      <c r="AB13" s="7"/>
      <c r="AC13" s="7"/>
      <c r="AD13" s="7"/>
      <c r="AE13" s="7"/>
      <c r="AF13" s="7"/>
      <c r="AG13" s="7"/>
      <c r="AH13" s="7"/>
      <c r="AI13" s="7"/>
      <c r="AJ13" s="7"/>
      <c r="AK13" s="7"/>
      <c r="AL13" s="7"/>
      <c r="AM13" s="7"/>
      <c r="AN13" s="7"/>
    </row>
    <row r="14" spans="1:40" s="6" customFormat="1" ht="6" customHeight="1" thickBot="1">
      <c r="A14" s="7"/>
      <c r="B14" s="11"/>
      <c r="C14" s="148"/>
      <c r="D14" s="71"/>
      <c r="E14" s="71"/>
      <c r="F14" s="71"/>
      <c r="G14" s="71"/>
      <c r="H14" s="71"/>
      <c r="I14" s="71"/>
      <c r="J14" s="149"/>
      <c r="K14" s="14"/>
      <c r="L14" s="237"/>
      <c r="M14" s="145"/>
      <c r="N14" s="145"/>
      <c r="O14" s="145"/>
      <c r="P14" s="145"/>
      <c r="Q14" s="145"/>
      <c r="R14" s="145"/>
      <c r="S14" s="145"/>
      <c r="T14" s="145"/>
      <c r="U14" s="7"/>
      <c r="V14" s="7"/>
      <c r="W14" s="7"/>
      <c r="X14" s="7"/>
      <c r="Y14" s="7"/>
      <c r="Z14" s="7"/>
      <c r="AA14" s="7"/>
      <c r="AB14" s="7"/>
      <c r="AC14" s="7"/>
      <c r="AD14" s="7"/>
      <c r="AE14" s="7"/>
      <c r="AF14" s="7"/>
      <c r="AG14" s="7"/>
      <c r="AH14" s="7"/>
      <c r="AI14" s="7"/>
      <c r="AJ14" s="7"/>
      <c r="AK14" s="7"/>
      <c r="AL14" s="7"/>
      <c r="AM14" s="7"/>
      <c r="AN14" s="7"/>
    </row>
    <row r="15" spans="1:40" s="6" customFormat="1" ht="20.25" customHeight="1" thickBot="1">
      <c r="A15" s="7"/>
      <c r="B15" s="348"/>
      <c r="C15" s="451" t="s">
        <v>173</v>
      </c>
      <c r="D15" s="448" t="s">
        <v>56</v>
      </c>
      <c r="E15" s="448"/>
      <c r="F15" s="448" t="s">
        <v>156</v>
      </c>
      <c r="G15" s="448" t="s">
        <v>157</v>
      </c>
      <c r="H15" s="452" t="s">
        <v>159</v>
      </c>
      <c r="I15" s="448" t="s">
        <v>158</v>
      </c>
      <c r="J15" s="150"/>
      <c r="K15" s="14"/>
      <c r="L15" s="354" t="s">
        <v>16</v>
      </c>
      <c r="M15" s="355" t="s">
        <v>16</v>
      </c>
      <c r="N15" s="355" t="s">
        <v>154</v>
      </c>
      <c r="O15" s="355" t="s">
        <v>154</v>
      </c>
      <c r="P15" s="355" t="s">
        <v>154</v>
      </c>
      <c r="Q15" s="355" t="s">
        <v>154</v>
      </c>
      <c r="R15" s="355" t="s">
        <v>155</v>
      </c>
      <c r="S15" s="355" t="s">
        <v>155</v>
      </c>
      <c r="T15" s="355" t="s">
        <v>258</v>
      </c>
      <c r="U15" s="7"/>
      <c r="V15" s="7"/>
      <c r="W15" s="7"/>
      <c r="X15" s="7"/>
      <c r="Y15" s="7"/>
      <c r="Z15" s="7"/>
      <c r="AA15" s="7"/>
      <c r="AB15" s="7"/>
      <c r="AC15" s="7"/>
      <c r="AD15" s="7"/>
      <c r="AE15" s="7"/>
      <c r="AF15" s="7"/>
      <c r="AG15" s="7"/>
      <c r="AH15" s="7"/>
      <c r="AI15" s="7"/>
      <c r="AJ15" s="7"/>
      <c r="AK15" s="7"/>
      <c r="AL15" s="7"/>
      <c r="AM15" s="7"/>
      <c r="AN15" s="7"/>
    </row>
    <row r="16" spans="1:40" s="6" customFormat="1" ht="14.25" customHeight="1">
      <c r="A16" s="7"/>
      <c r="B16" s="11"/>
      <c r="C16" s="148" t="s">
        <v>416</v>
      </c>
      <c r="D16" s="468"/>
      <c r="E16" s="469"/>
      <c r="F16" s="372"/>
      <c r="G16" s="372"/>
      <c r="H16" s="373"/>
      <c r="I16" s="379" t="str">
        <f t="shared" ref="I16:I27" si="0">IFERROR(VLOOKUP(G16,MxLCA,3,FALSE),"")</f>
        <v/>
      </c>
      <c r="J16" s="150"/>
      <c r="K16" s="14"/>
      <c r="L16" s="252">
        <f t="shared" ref="L16:L27" si="1">IFERROR(VLOOKUP($G16,MxLCA,5,FALSE)*$H16*Anzahl/$M$45,0)</f>
        <v>0</v>
      </c>
      <c r="M16" s="253">
        <f t="shared" ref="M16:M27" si="2">IFERROR(VLOOKUP($G16,MxLCA,6,FALSE)*$H16*Anzahl/IF(OR($M$45&gt;GWOMatEff,$M$45=0),DefMatEff,$M$45),0)</f>
        <v>0</v>
      </c>
      <c r="N16" s="345">
        <f t="shared" ref="N16:N27" si="3">IFERROR(VLOOKUP($G16,MxLCA,8,FALSE)*$H16*Anzahl/IF(OR($M$45&gt;GWOMatEff,$M$45=0),DefMatEff,$M$45),0)</f>
        <v>0</v>
      </c>
      <c r="O16" s="345">
        <f t="shared" ref="O16:O27" si="4">IFERROR(VLOOKUP($G16,MxLCA,9,FALSE)*$H16*Anzahl/IF(OR($M$45&gt;GWOMatEff,$M$45=0),DefMatEff,$M$45),0)</f>
        <v>0</v>
      </c>
      <c r="P16" s="249">
        <f t="shared" ref="P16:P27" si="5">IFERROR(VLOOKUP($G16,MxLCA,14,FALSE)*$H16*Anzahl/IF(OR($M$45&gt;GWOMatEff,$M$45=0),DefMatEff,$M$45),0)</f>
        <v>0</v>
      </c>
      <c r="Q16" s="249">
        <f t="shared" ref="Q16:Q27" si="6">IFERROR(VLOOKUP($G16,MxLCA,15,FALSE)*$H16*Anzahl/IF(OR($M$45&gt;GWOMatEff,$M$45=0),DefMatEff,$M$45),0)</f>
        <v>0</v>
      </c>
      <c r="R16" s="250">
        <f t="shared" ref="R16:R27" si="7">IFERROR(VLOOKUP($G16,MxLCA,17,FALSE)*$H16*Anzahl/IF(OR($M$45&gt;GWOMatEff,$M$45=0),DefMatEff,$M$45),0)</f>
        <v>0</v>
      </c>
      <c r="S16" s="250">
        <f t="shared" ref="S16:S27" si="8">IFERROR(VLOOKUP($G16,MxLCA,18,FALSE)*$H16*Anzahl/IF(OR($M$45&gt;GWOMatEff,$M$45=0),DefMatEff,$M$45),0)</f>
        <v>0</v>
      </c>
      <c r="T16" s="251">
        <f t="shared" ref="T16:T27" si="9">IFERROR(VLOOKUP($G16,MxLCA,19,FALSE)*$H16*Anzahl,0)</f>
        <v>0</v>
      </c>
      <c r="U16" s="7"/>
      <c r="V16" s="7"/>
      <c r="W16" s="7"/>
      <c r="X16" s="7"/>
      <c r="Y16" s="7"/>
      <c r="Z16" s="7"/>
      <c r="AA16" s="7"/>
      <c r="AB16" s="7"/>
      <c r="AC16" s="7"/>
      <c r="AD16" s="7"/>
      <c r="AE16" s="7"/>
      <c r="AF16" s="7"/>
      <c r="AG16" s="7"/>
      <c r="AH16" s="7"/>
      <c r="AI16" s="7"/>
      <c r="AJ16" s="7"/>
      <c r="AK16" s="7"/>
      <c r="AL16" s="7"/>
      <c r="AM16" s="7"/>
      <c r="AN16" s="7"/>
    </row>
    <row r="17" spans="1:40" s="6" customFormat="1" ht="14.25" customHeight="1">
      <c r="A17" s="7"/>
      <c r="B17" s="11"/>
      <c r="C17" s="148" t="s">
        <v>229</v>
      </c>
      <c r="D17" s="468"/>
      <c r="E17" s="469"/>
      <c r="F17" s="372"/>
      <c r="G17" s="372"/>
      <c r="H17" s="373"/>
      <c r="I17" s="379" t="str">
        <f t="shared" si="0"/>
        <v/>
      </c>
      <c r="J17" s="150"/>
      <c r="K17" s="234"/>
      <c r="L17" s="254">
        <f t="shared" si="1"/>
        <v>0</v>
      </c>
      <c r="M17" s="369">
        <f t="shared" si="2"/>
        <v>0</v>
      </c>
      <c r="N17" s="346">
        <f t="shared" si="3"/>
        <v>0</v>
      </c>
      <c r="O17" s="346">
        <f t="shared" si="4"/>
        <v>0</v>
      </c>
      <c r="P17" s="370">
        <f t="shared" si="5"/>
        <v>0</v>
      </c>
      <c r="Q17" s="370">
        <f t="shared" si="6"/>
        <v>0</v>
      </c>
      <c r="R17" s="371">
        <f t="shared" si="7"/>
        <v>0</v>
      </c>
      <c r="S17" s="371">
        <f t="shared" si="8"/>
        <v>0</v>
      </c>
      <c r="T17" s="255">
        <f t="shared" si="9"/>
        <v>0</v>
      </c>
      <c r="U17" s="7"/>
      <c r="V17" s="7"/>
      <c r="W17" s="7"/>
      <c r="X17" s="7"/>
      <c r="Y17" s="7"/>
      <c r="Z17" s="7"/>
      <c r="AA17" s="7"/>
      <c r="AB17" s="7"/>
      <c r="AC17" s="7"/>
      <c r="AD17" s="7"/>
      <c r="AE17" s="7"/>
      <c r="AF17" s="7"/>
      <c r="AG17" s="7"/>
      <c r="AH17" s="7"/>
      <c r="AI17" s="7"/>
      <c r="AJ17" s="7"/>
      <c r="AK17" s="7"/>
      <c r="AL17" s="7"/>
      <c r="AM17" s="7"/>
      <c r="AN17" s="7"/>
    </row>
    <row r="18" spans="1:40" s="6" customFormat="1" ht="14.25" customHeight="1">
      <c r="A18" s="7"/>
      <c r="B18" s="11"/>
      <c r="C18" s="148"/>
      <c r="D18" s="468"/>
      <c r="E18" s="469"/>
      <c r="F18" s="372"/>
      <c r="G18" s="372"/>
      <c r="H18" s="373"/>
      <c r="I18" s="379" t="str">
        <f t="shared" si="0"/>
        <v/>
      </c>
      <c r="J18" s="150"/>
      <c r="K18" s="234"/>
      <c r="L18" s="254">
        <f t="shared" si="1"/>
        <v>0</v>
      </c>
      <c r="M18" s="369">
        <f t="shared" si="2"/>
        <v>0</v>
      </c>
      <c r="N18" s="346">
        <f t="shared" si="3"/>
        <v>0</v>
      </c>
      <c r="O18" s="346">
        <f t="shared" si="4"/>
        <v>0</v>
      </c>
      <c r="P18" s="370">
        <f t="shared" si="5"/>
        <v>0</v>
      </c>
      <c r="Q18" s="370">
        <f t="shared" si="6"/>
        <v>0</v>
      </c>
      <c r="R18" s="371">
        <f t="shared" si="7"/>
        <v>0</v>
      </c>
      <c r="S18" s="371">
        <f t="shared" si="8"/>
        <v>0</v>
      </c>
      <c r="T18" s="255">
        <f t="shared" si="9"/>
        <v>0</v>
      </c>
      <c r="U18" s="7"/>
      <c r="V18" s="7"/>
      <c r="W18" s="7"/>
      <c r="X18" s="7"/>
      <c r="Y18" s="7"/>
      <c r="Z18" s="7"/>
      <c r="AA18" s="7"/>
      <c r="AB18" s="7"/>
      <c r="AC18" s="7"/>
      <c r="AD18" s="7"/>
      <c r="AE18" s="7"/>
      <c r="AF18" s="7"/>
      <c r="AG18" s="7"/>
      <c r="AH18" s="7"/>
      <c r="AI18" s="7"/>
      <c r="AJ18" s="7"/>
      <c r="AK18" s="7"/>
      <c r="AL18" s="7"/>
      <c r="AM18" s="7"/>
      <c r="AN18" s="7"/>
    </row>
    <row r="19" spans="1:40" s="6" customFormat="1" ht="14.25" customHeight="1">
      <c r="A19" s="7"/>
      <c r="B19" s="11"/>
      <c r="C19" s="71"/>
      <c r="D19" s="468"/>
      <c r="E19" s="469"/>
      <c r="F19" s="372"/>
      <c r="G19" s="372"/>
      <c r="H19" s="373"/>
      <c r="I19" s="379" t="str">
        <f t="shared" si="0"/>
        <v/>
      </c>
      <c r="J19" s="150"/>
      <c r="K19" s="234"/>
      <c r="L19" s="254">
        <f t="shared" si="1"/>
        <v>0</v>
      </c>
      <c r="M19" s="369">
        <f t="shared" si="2"/>
        <v>0</v>
      </c>
      <c r="N19" s="346">
        <f t="shared" si="3"/>
        <v>0</v>
      </c>
      <c r="O19" s="346">
        <f t="shared" si="4"/>
        <v>0</v>
      </c>
      <c r="P19" s="370">
        <f t="shared" si="5"/>
        <v>0</v>
      </c>
      <c r="Q19" s="370">
        <f t="shared" si="6"/>
        <v>0</v>
      </c>
      <c r="R19" s="371">
        <f t="shared" si="7"/>
        <v>0</v>
      </c>
      <c r="S19" s="371">
        <f t="shared" si="8"/>
        <v>0</v>
      </c>
      <c r="T19" s="255">
        <f t="shared" si="9"/>
        <v>0</v>
      </c>
      <c r="U19" s="7"/>
      <c r="V19" s="7"/>
      <c r="W19" s="7"/>
      <c r="X19" s="7"/>
      <c r="Y19" s="7"/>
      <c r="Z19" s="7"/>
      <c r="AA19" s="7"/>
      <c r="AB19" s="7"/>
      <c r="AC19" s="7"/>
      <c r="AD19" s="7"/>
      <c r="AE19" s="7"/>
      <c r="AF19" s="7"/>
      <c r="AG19" s="7"/>
      <c r="AH19" s="7"/>
      <c r="AI19" s="7"/>
      <c r="AJ19" s="7"/>
      <c r="AK19" s="7"/>
      <c r="AL19" s="7"/>
      <c r="AM19" s="7"/>
      <c r="AN19" s="7"/>
    </row>
    <row r="20" spans="1:40" s="6" customFormat="1" ht="14.25" customHeight="1">
      <c r="A20" s="7"/>
      <c r="B20" s="11"/>
      <c r="C20" s="71"/>
      <c r="D20" s="468"/>
      <c r="E20" s="469"/>
      <c r="F20" s="372"/>
      <c r="G20" s="372"/>
      <c r="H20" s="373"/>
      <c r="I20" s="379" t="str">
        <f t="shared" si="0"/>
        <v/>
      </c>
      <c r="J20" s="150"/>
      <c r="K20" s="234"/>
      <c r="L20" s="254">
        <f t="shared" si="1"/>
        <v>0</v>
      </c>
      <c r="M20" s="369">
        <f t="shared" si="2"/>
        <v>0</v>
      </c>
      <c r="N20" s="346">
        <f t="shared" si="3"/>
        <v>0</v>
      </c>
      <c r="O20" s="346">
        <f t="shared" si="4"/>
        <v>0</v>
      </c>
      <c r="P20" s="370">
        <f t="shared" si="5"/>
        <v>0</v>
      </c>
      <c r="Q20" s="370">
        <f t="shared" si="6"/>
        <v>0</v>
      </c>
      <c r="R20" s="371">
        <f t="shared" si="7"/>
        <v>0</v>
      </c>
      <c r="S20" s="371">
        <f t="shared" si="8"/>
        <v>0</v>
      </c>
      <c r="T20" s="255">
        <f t="shared" si="9"/>
        <v>0</v>
      </c>
      <c r="U20" s="7"/>
      <c r="V20" s="7"/>
      <c r="W20" s="7"/>
      <c r="X20" s="7"/>
      <c r="Y20" s="7"/>
      <c r="Z20" s="7"/>
      <c r="AA20" s="7"/>
      <c r="AB20" s="7"/>
      <c r="AC20" s="7"/>
      <c r="AD20" s="7"/>
      <c r="AE20" s="7"/>
      <c r="AF20" s="7"/>
      <c r="AG20" s="7"/>
      <c r="AH20" s="7"/>
      <c r="AI20" s="7"/>
      <c r="AJ20" s="7"/>
      <c r="AK20" s="7"/>
      <c r="AL20" s="7"/>
      <c r="AM20" s="7"/>
      <c r="AN20" s="7"/>
    </row>
    <row r="21" spans="1:40" s="6" customFormat="1" ht="14.25" customHeight="1">
      <c r="A21" s="7"/>
      <c r="B21" s="11"/>
      <c r="C21" s="71"/>
      <c r="D21" s="468"/>
      <c r="E21" s="469"/>
      <c r="F21" s="372"/>
      <c r="G21" s="372"/>
      <c r="H21" s="373"/>
      <c r="I21" s="379" t="str">
        <f t="shared" si="0"/>
        <v/>
      </c>
      <c r="J21" s="150"/>
      <c r="K21" s="234"/>
      <c r="L21" s="254">
        <f t="shared" si="1"/>
        <v>0</v>
      </c>
      <c r="M21" s="369">
        <f t="shared" si="2"/>
        <v>0</v>
      </c>
      <c r="N21" s="346">
        <f t="shared" si="3"/>
        <v>0</v>
      </c>
      <c r="O21" s="346">
        <f t="shared" si="4"/>
        <v>0</v>
      </c>
      <c r="P21" s="370">
        <f t="shared" si="5"/>
        <v>0</v>
      </c>
      <c r="Q21" s="370">
        <f t="shared" si="6"/>
        <v>0</v>
      </c>
      <c r="R21" s="371">
        <f t="shared" si="7"/>
        <v>0</v>
      </c>
      <c r="S21" s="371">
        <f t="shared" si="8"/>
        <v>0</v>
      </c>
      <c r="T21" s="255">
        <f t="shared" si="9"/>
        <v>0</v>
      </c>
      <c r="U21" s="7"/>
      <c r="V21" s="7"/>
      <c r="W21" s="7"/>
      <c r="X21" s="7"/>
      <c r="Y21" s="7"/>
      <c r="Z21" s="7"/>
      <c r="AA21" s="7"/>
      <c r="AB21" s="7"/>
      <c r="AC21" s="7"/>
      <c r="AD21" s="7"/>
      <c r="AE21" s="7"/>
      <c r="AF21" s="7"/>
      <c r="AG21" s="7"/>
      <c r="AH21" s="7"/>
      <c r="AI21" s="7"/>
      <c r="AJ21" s="7"/>
      <c r="AK21" s="7"/>
      <c r="AL21" s="7"/>
      <c r="AM21" s="7"/>
      <c r="AN21" s="7"/>
    </row>
    <row r="22" spans="1:40" s="6" customFormat="1" ht="14.25" customHeight="1">
      <c r="A22" s="7"/>
      <c r="B22" s="11"/>
      <c r="C22" s="71"/>
      <c r="D22" s="468"/>
      <c r="E22" s="469"/>
      <c r="F22" s="372"/>
      <c r="G22" s="372"/>
      <c r="H22" s="373"/>
      <c r="I22" s="379" t="str">
        <f t="shared" si="0"/>
        <v/>
      </c>
      <c r="J22" s="150"/>
      <c r="K22" s="234"/>
      <c r="L22" s="254">
        <f t="shared" si="1"/>
        <v>0</v>
      </c>
      <c r="M22" s="369">
        <f t="shared" si="2"/>
        <v>0</v>
      </c>
      <c r="N22" s="346">
        <f t="shared" si="3"/>
        <v>0</v>
      </c>
      <c r="O22" s="346">
        <f t="shared" si="4"/>
        <v>0</v>
      </c>
      <c r="P22" s="370">
        <f t="shared" si="5"/>
        <v>0</v>
      </c>
      <c r="Q22" s="370">
        <f t="shared" si="6"/>
        <v>0</v>
      </c>
      <c r="R22" s="371">
        <f t="shared" si="7"/>
        <v>0</v>
      </c>
      <c r="S22" s="371">
        <f t="shared" si="8"/>
        <v>0</v>
      </c>
      <c r="T22" s="255">
        <f t="shared" si="9"/>
        <v>0</v>
      </c>
      <c r="U22" s="7"/>
      <c r="V22" s="7"/>
      <c r="W22" s="7"/>
      <c r="X22" s="7"/>
      <c r="Y22" s="7"/>
      <c r="Z22" s="7"/>
      <c r="AA22" s="7"/>
      <c r="AB22" s="7"/>
      <c r="AC22" s="7"/>
      <c r="AD22" s="7"/>
      <c r="AE22" s="7"/>
      <c r="AF22" s="7"/>
      <c r="AG22" s="7"/>
      <c r="AH22" s="7"/>
      <c r="AI22" s="7"/>
      <c r="AJ22" s="7"/>
      <c r="AK22" s="7"/>
      <c r="AL22" s="7"/>
      <c r="AM22" s="7"/>
      <c r="AN22" s="7"/>
    </row>
    <row r="23" spans="1:40" s="6" customFormat="1" ht="14.25" customHeight="1">
      <c r="A23" s="7"/>
      <c r="B23" s="11"/>
      <c r="C23" s="71"/>
      <c r="D23" s="468"/>
      <c r="E23" s="469"/>
      <c r="F23" s="372"/>
      <c r="G23" s="372"/>
      <c r="H23" s="373"/>
      <c r="I23" s="379" t="str">
        <f t="shared" si="0"/>
        <v/>
      </c>
      <c r="J23" s="150"/>
      <c r="K23" s="234"/>
      <c r="L23" s="254">
        <f t="shared" si="1"/>
        <v>0</v>
      </c>
      <c r="M23" s="369">
        <f t="shared" si="2"/>
        <v>0</v>
      </c>
      <c r="N23" s="346">
        <f t="shared" si="3"/>
        <v>0</v>
      </c>
      <c r="O23" s="346">
        <f t="shared" si="4"/>
        <v>0</v>
      </c>
      <c r="P23" s="370">
        <f t="shared" si="5"/>
        <v>0</v>
      </c>
      <c r="Q23" s="370">
        <f t="shared" si="6"/>
        <v>0</v>
      </c>
      <c r="R23" s="371">
        <f t="shared" si="7"/>
        <v>0</v>
      </c>
      <c r="S23" s="371">
        <f t="shared" si="8"/>
        <v>0</v>
      </c>
      <c r="T23" s="255">
        <f t="shared" si="9"/>
        <v>0</v>
      </c>
      <c r="U23" s="7"/>
      <c r="V23" s="7"/>
      <c r="W23" s="7"/>
      <c r="X23" s="7"/>
      <c r="Y23" s="7"/>
      <c r="Z23" s="7"/>
      <c r="AA23" s="7"/>
      <c r="AB23" s="7"/>
      <c r="AC23" s="7"/>
      <c r="AD23" s="7"/>
      <c r="AE23" s="7"/>
      <c r="AF23" s="7"/>
      <c r="AG23" s="7"/>
      <c r="AH23" s="7"/>
      <c r="AI23" s="7"/>
      <c r="AJ23" s="7"/>
      <c r="AK23" s="7"/>
      <c r="AL23" s="7"/>
      <c r="AM23" s="7"/>
      <c r="AN23" s="7"/>
    </row>
    <row r="24" spans="1:40" s="6" customFormat="1" ht="14.25" customHeight="1">
      <c r="A24" s="7"/>
      <c r="B24" s="11"/>
      <c r="C24" s="71"/>
      <c r="D24" s="468"/>
      <c r="E24" s="469"/>
      <c r="F24" s="372"/>
      <c r="G24" s="372"/>
      <c r="H24" s="373"/>
      <c r="I24" s="379" t="str">
        <f t="shared" si="0"/>
        <v/>
      </c>
      <c r="J24" s="150"/>
      <c r="K24" s="234"/>
      <c r="L24" s="254">
        <f t="shared" si="1"/>
        <v>0</v>
      </c>
      <c r="M24" s="369">
        <f t="shared" si="2"/>
        <v>0</v>
      </c>
      <c r="N24" s="346">
        <f t="shared" si="3"/>
        <v>0</v>
      </c>
      <c r="O24" s="346">
        <f t="shared" si="4"/>
        <v>0</v>
      </c>
      <c r="P24" s="370">
        <f t="shared" si="5"/>
        <v>0</v>
      </c>
      <c r="Q24" s="370">
        <f t="shared" si="6"/>
        <v>0</v>
      </c>
      <c r="R24" s="371">
        <f t="shared" si="7"/>
        <v>0</v>
      </c>
      <c r="S24" s="371">
        <f t="shared" si="8"/>
        <v>0</v>
      </c>
      <c r="T24" s="255">
        <f t="shared" si="9"/>
        <v>0</v>
      </c>
      <c r="U24" s="7"/>
      <c r="V24" s="7"/>
      <c r="W24" s="7"/>
      <c r="X24" s="7"/>
      <c r="Y24" s="7"/>
      <c r="Z24" s="7"/>
      <c r="AA24" s="7"/>
      <c r="AB24" s="7"/>
      <c r="AC24" s="7"/>
      <c r="AD24" s="7"/>
      <c r="AE24" s="7"/>
      <c r="AF24" s="7"/>
      <c r="AG24" s="7"/>
      <c r="AH24" s="7"/>
      <c r="AI24" s="7"/>
      <c r="AJ24" s="7"/>
      <c r="AK24" s="7"/>
      <c r="AL24" s="7"/>
      <c r="AM24" s="7"/>
      <c r="AN24" s="7"/>
    </row>
    <row r="25" spans="1:40" s="6" customFormat="1" ht="14.25" customHeight="1">
      <c r="A25" s="7"/>
      <c r="B25" s="11"/>
      <c r="C25" s="71"/>
      <c r="D25" s="468"/>
      <c r="E25" s="469"/>
      <c r="F25" s="372"/>
      <c r="G25" s="372"/>
      <c r="H25" s="373"/>
      <c r="I25" s="379" t="str">
        <f t="shared" si="0"/>
        <v/>
      </c>
      <c r="J25" s="150"/>
      <c r="K25" s="234"/>
      <c r="L25" s="254">
        <f t="shared" si="1"/>
        <v>0</v>
      </c>
      <c r="M25" s="369">
        <f t="shared" si="2"/>
        <v>0</v>
      </c>
      <c r="N25" s="346">
        <f t="shared" si="3"/>
        <v>0</v>
      </c>
      <c r="O25" s="346">
        <f t="shared" si="4"/>
        <v>0</v>
      </c>
      <c r="P25" s="370">
        <f t="shared" si="5"/>
        <v>0</v>
      </c>
      <c r="Q25" s="370">
        <f t="shared" si="6"/>
        <v>0</v>
      </c>
      <c r="R25" s="371">
        <f t="shared" si="7"/>
        <v>0</v>
      </c>
      <c r="S25" s="371">
        <f t="shared" si="8"/>
        <v>0</v>
      </c>
      <c r="T25" s="255">
        <f t="shared" si="9"/>
        <v>0</v>
      </c>
      <c r="U25" s="7"/>
      <c r="V25" s="7"/>
      <c r="W25" s="7"/>
      <c r="X25" s="7"/>
      <c r="Y25" s="7"/>
      <c r="Z25" s="7"/>
      <c r="AA25" s="7"/>
      <c r="AB25" s="7"/>
      <c r="AC25" s="7"/>
      <c r="AD25" s="7"/>
      <c r="AE25" s="7"/>
      <c r="AF25" s="7"/>
      <c r="AG25" s="7"/>
      <c r="AH25" s="7"/>
      <c r="AI25" s="7"/>
      <c r="AJ25" s="7"/>
      <c r="AK25" s="7"/>
      <c r="AL25" s="7"/>
      <c r="AM25" s="7"/>
      <c r="AN25" s="7"/>
    </row>
    <row r="26" spans="1:40" s="6" customFormat="1" ht="14.25" customHeight="1">
      <c r="A26" s="7"/>
      <c r="B26" s="11"/>
      <c r="C26" s="71"/>
      <c r="D26" s="468"/>
      <c r="E26" s="469"/>
      <c r="F26" s="372"/>
      <c r="G26" s="372"/>
      <c r="H26" s="373"/>
      <c r="I26" s="379" t="str">
        <f t="shared" si="0"/>
        <v/>
      </c>
      <c r="J26" s="150"/>
      <c r="K26" s="234"/>
      <c r="L26" s="254">
        <f t="shared" si="1"/>
        <v>0</v>
      </c>
      <c r="M26" s="369">
        <f t="shared" si="2"/>
        <v>0</v>
      </c>
      <c r="N26" s="346">
        <f t="shared" si="3"/>
        <v>0</v>
      </c>
      <c r="O26" s="346">
        <f t="shared" si="4"/>
        <v>0</v>
      </c>
      <c r="P26" s="370">
        <f t="shared" si="5"/>
        <v>0</v>
      </c>
      <c r="Q26" s="370">
        <f t="shared" si="6"/>
        <v>0</v>
      </c>
      <c r="R26" s="371">
        <f t="shared" si="7"/>
        <v>0</v>
      </c>
      <c r="S26" s="371">
        <f t="shared" si="8"/>
        <v>0</v>
      </c>
      <c r="T26" s="255">
        <f t="shared" si="9"/>
        <v>0</v>
      </c>
      <c r="U26" s="7"/>
      <c r="V26" s="7"/>
      <c r="W26" s="7"/>
      <c r="X26" s="7"/>
      <c r="Y26" s="7"/>
      <c r="Z26" s="7"/>
      <c r="AA26" s="7"/>
      <c r="AB26" s="7"/>
      <c r="AC26" s="7"/>
      <c r="AD26" s="7"/>
      <c r="AE26" s="7"/>
      <c r="AF26" s="7"/>
      <c r="AG26" s="7"/>
      <c r="AH26" s="7"/>
      <c r="AI26" s="7"/>
      <c r="AJ26" s="7"/>
      <c r="AK26" s="7"/>
      <c r="AL26" s="7"/>
      <c r="AM26" s="7"/>
      <c r="AN26" s="7"/>
    </row>
    <row r="27" spans="1:40" s="6" customFormat="1" ht="14.25" customHeight="1" thickBot="1">
      <c r="A27" s="7"/>
      <c r="B27" s="11"/>
      <c r="C27" s="71"/>
      <c r="D27" s="468"/>
      <c r="E27" s="469"/>
      <c r="F27" s="372"/>
      <c r="G27" s="372"/>
      <c r="H27" s="373"/>
      <c r="I27" s="379" t="str">
        <f t="shared" si="0"/>
        <v/>
      </c>
      <c r="J27" s="150"/>
      <c r="K27" s="234"/>
      <c r="L27" s="256">
        <f t="shared" si="1"/>
        <v>0</v>
      </c>
      <c r="M27" s="257">
        <f t="shared" si="2"/>
        <v>0</v>
      </c>
      <c r="N27" s="347">
        <f t="shared" si="3"/>
        <v>0</v>
      </c>
      <c r="O27" s="347">
        <f t="shared" si="4"/>
        <v>0</v>
      </c>
      <c r="P27" s="247">
        <f t="shared" si="5"/>
        <v>0</v>
      </c>
      <c r="Q27" s="247">
        <f t="shared" si="6"/>
        <v>0</v>
      </c>
      <c r="R27" s="245">
        <f t="shared" si="7"/>
        <v>0</v>
      </c>
      <c r="S27" s="245">
        <f t="shared" si="8"/>
        <v>0</v>
      </c>
      <c r="T27" s="258">
        <f t="shared" si="9"/>
        <v>0</v>
      </c>
      <c r="U27" s="7"/>
      <c r="V27" s="7"/>
      <c r="W27" s="7"/>
      <c r="X27" s="7"/>
      <c r="Y27" s="7"/>
      <c r="Z27" s="7"/>
      <c r="AA27" s="7"/>
      <c r="AB27" s="7"/>
      <c r="AC27" s="7"/>
      <c r="AD27" s="7"/>
      <c r="AE27" s="7"/>
      <c r="AF27" s="7"/>
      <c r="AG27" s="7"/>
      <c r="AH27" s="7"/>
      <c r="AI27" s="7"/>
      <c r="AJ27" s="7"/>
      <c r="AK27" s="7"/>
      <c r="AL27" s="7"/>
      <c r="AM27" s="7"/>
      <c r="AN27" s="7"/>
    </row>
    <row r="28" spans="1:40" s="6" customFormat="1" ht="14.25" customHeight="1" thickBot="1">
      <c r="A28" s="7"/>
      <c r="B28" s="11"/>
      <c r="C28" s="71"/>
      <c r="D28" s="382" t="str">
        <f>IF(OR(H28&gt;D13*1.1,H28&lt;D13/1.1),"Gewicht Zusammensetzung prüfen: Abweichung &gt;10%",DeklGewichtOK)</f>
        <v>Deklariertes Gesamtgewicht OK</v>
      </c>
      <c r="E28" s="147"/>
      <c r="F28" s="71"/>
      <c r="G28" s="71"/>
      <c r="H28" s="260">
        <f>SUMIF(I$16:I$27,"kg",H$16:H$27)</f>
        <v>0</v>
      </c>
      <c r="I28" s="379" t="s">
        <v>31</v>
      </c>
      <c r="J28" s="150"/>
      <c r="K28" s="239" t="s">
        <v>165</v>
      </c>
      <c r="L28" s="420" t="s">
        <v>160</v>
      </c>
      <c r="M28" s="421"/>
      <c r="N28" s="421" t="s">
        <v>161</v>
      </c>
      <c r="O28" s="421"/>
      <c r="P28" s="421" t="s">
        <v>161</v>
      </c>
      <c r="Q28" s="421"/>
      <c r="R28" s="421" t="s">
        <v>162</v>
      </c>
      <c r="S28" s="421"/>
      <c r="T28" s="421" t="s">
        <v>401</v>
      </c>
      <c r="U28" s="7"/>
      <c r="V28" s="7"/>
      <c r="W28" s="7"/>
      <c r="X28" s="7"/>
      <c r="Y28" s="7"/>
      <c r="Z28" s="7"/>
      <c r="AA28" s="7"/>
      <c r="AB28" s="7"/>
      <c r="AC28" s="7"/>
      <c r="AD28" s="7"/>
      <c r="AE28" s="7"/>
      <c r="AF28" s="7"/>
      <c r="AG28" s="7"/>
      <c r="AH28" s="7"/>
      <c r="AI28" s="7"/>
      <c r="AJ28" s="7"/>
      <c r="AK28" s="7"/>
      <c r="AL28" s="7"/>
      <c r="AM28" s="7"/>
      <c r="AN28" s="7"/>
    </row>
    <row r="29" spans="1:40" s="6" customFormat="1" ht="14.25" customHeight="1">
      <c r="A29" s="7"/>
      <c r="B29" s="348"/>
      <c r="C29" s="447"/>
      <c r="D29" s="448" t="s">
        <v>56</v>
      </c>
      <c r="E29" s="449"/>
      <c r="F29" s="448" t="s">
        <v>415</v>
      </c>
      <c r="G29" s="448"/>
      <c r="H29" s="450" t="s">
        <v>414</v>
      </c>
      <c r="I29" s="448" t="s">
        <v>158</v>
      </c>
      <c r="J29" s="150"/>
      <c r="K29" s="342"/>
      <c r="L29" s="237"/>
      <c r="M29" s="343"/>
      <c r="N29" s="343"/>
      <c r="O29" s="343"/>
      <c r="P29" s="343"/>
      <c r="Q29" s="343"/>
      <c r="R29" s="343"/>
      <c r="S29" s="343"/>
      <c r="T29" s="343"/>
      <c r="U29" s="7"/>
      <c r="V29" s="7"/>
      <c r="W29" s="7"/>
      <c r="X29" s="7"/>
      <c r="Y29" s="7"/>
      <c r="Z29" s="7"/>
      <c r="AA29" s="7"/>
      <c r="AB29" s="7"/>
      <c r="AC29" s="7"/>
      <c r="AD29" s="7"/>
      <c r="AE29" s="7"/>
      <c r="AF29" s="7"/>
      <c r="AG29" s="7"/>
      <c r="AH29" s="7"/>
      <c r="AI29" s="7"/>
      <c r="AJ29" s="7"/>
      <c r="AK29" s="7"/>
      <c r="AL29" s="7"/>
      <c r="AM29" s="7"/>
      <c r="AN29" s="7"/>
    </row>
    <row r="30" spans="1:40" s="6" customFormat="1" ht="14.25" customHeight="1">
      <c r="A30" s="7"/>
      <c r="B30" s="11"/>
      <c r="C30" s="10" t="s">
        <v>402</v>
      </c>
      <c r="D30" s="468"/>
      <c r="E30" s="469"/>
      <c r="F30" s="472"/>
      <c r="G30" s="473"/>
      <c r="H30" s="381"/>
      <c r="I30" s="379" t="str">
        <f>IF(ISBLANK(H30),"","km")</f>
        <v/>
      </c>
      <c r="J30" s="150"/>
      <c r="K30" s="234"/>
      <c r="L30" s="254">
        <f>IFERROR(VLOOKUP($F30,MxTransporte,4,FALSE)*$H30*($H$28/1000)*$H$13,0)</f>
        <v>0</v>
      </c>
      <c r="M30" s="10"/>
      <c r="N30" s="246">
        <f>IFERROR(VLOOKUP($F30,MxTransporte,12,FALSE)*$H30*($H$28/1000)*$H$13,0)</f>
        <v>0</v>
      </c>
      <c r="O30" s="10"/>
      <c r="P30" s="246">
        <f>IFERROR(VLOOKUP($F30,MxTransporte,16,FALSE)*$H30*($H$28/1000)*$H$13,0)</f>
        <v>0</v>
      </c>
      <c r="Q30" s="10"/>
      <c r="R30" s="244">
        <f>IFERROR(VLOOKUP($F30,MxTransporte,20,FALSE)*$H30*($H$28/1000)*$H$13,0)</f>
        <v>0</v>
      </c>
      <c r="S30" s="10"/>
      <c r="T30" s="10"/>
      <c r="U30" s="7"/>
      <c r="V30" s="7"/>
      <c r="W30" s="7"/>
      <c r="X30" s="7"/>
      <c r="Y30" s="7"/>
      <c r="Z30" s="7"/>
      <c r="AA30" s="7"/>
      <c r="AB30" s="7"/>
      <c r="AC30" s="7"/>
      <c r="AD30" s="7"/>
      <c r="AE30" s="7"/>
      <c r="AF30" s="7"/>
      <c r="AG30" s="7"/>
      <c r="AH30" s="7"/>
      <c r="AI30" s="7"/>
      <c r="AJ30" s="7"/>
      <c r="AK30" s="7"/>
      <c r="AL30" s="7"/>
      <c r="AM30" s="7"/>
      <c r="AN30" s="7"/>
    </row>
    <row r="31" spans="1:40" s="6" customFormat="1" ht="14.25" customHeight="1">
      <c r="A31" s="7"/>
      <c r="B31" s="11"/>
      <c r="C31" s="145" t="s">
        <v>403</v>
      </c>
      <c r="D31" s="468"/>
      <c r="E31" s="469"/>
      <c r="F31" s="472"/>
      <c r="G31" s="473"/>
      <c r="H31" s="381"/>
      <c r="I31" s="379" t="str">
        <f t="shared" ref="I31:I32" si="10">IF(ISBLANK(H31),"","km")</f>
        <v/>
      </c>
      <c r="J31" s="150"/>
      <c r="K31" s="234"/>
      <c r="L31" s="254">
        <f>IFERROR(VLOOKUP($F31,MxTransporte,4,FALSE)*$H31*($H$28/1000)*$H$13,0)</f>
        <v>0</v>
      </c>
      <c r="M31" s="10"/>
      <c r="N31" s="246">
        <f>IFERROR(VLOOKUP($F31,MxTransporte,12,FALSE)*$H31*($H$28/1000)*$H$13,0)</f>
        <v>0</v>
      </c>
      <c r="O31" s="10"/>
      <c r="P31" s="246">
        <f>IFERROR(VLOOKUP($F31,MxTransporte,16,FALSE)*$H31*($H$28/1000)*$H$13,0)</f>
        <v>0</v>
      </c>
      <c r="Q31" s="10"/>
      <c r="R31" s="244">
        <f>IFERROR(VLOOKUP($F31,MxTransporte,20,FALSE)*$H31*($H$28/1000)*$H$13,0)</f>
        <v>0</v>
      </c>
      <c r="S31" s="10"/>
      <c r="T31" s="10"/>
      <c r="U31" s="7"/>
      <c r="V31" s="7"/>
      <c r="W31" s="7"/>
      <c r="X31" s="7"/>
      <c r="Y31" s="7"/>
      <c r="Z31" s="7"/>
      <c r="AA31" s="7"/>
      <c r="AB31" s="7"/>
      <c r="AC31" s="7"/>
      <c r="AD31" s="7"/>
      <c r="AE31" s="7"/>
      <c r="AF31" s="7"/>
      <c r="AG31" s="7"/>
      <c r="AH31" s="7"/>
      <c r="AI31" s="7"/>
      <c r="AJ31" s="7"/>
      <c r="AK31" s="7"/>
      <c r="AL31" s="7"/>
      <c r="AM31" s="7"/>
      <c r="AN31" s="7"/>
    </row>
    <row r="32" spans="1:40" s="6" customFormat="1" ht="14.25" customHeight="1" thickBot="1">
      <c r="A32" s="7"/>
      <c r="B32" s="10"/>
      <c r="C32" s="10"/>
      <c r="D32" s="468"/>
      <c r="E32" s="469"/>
      <c r="F32" s="472"/>
      <c r="G32" s="473"/>
      <c r="H32" s="381"/>
      <c r="I32" s="379" t="str">
        <f t="shared" si="10"/>
        <v/>
      </c>
      <c r="J32" s="7"/>
      <c r="K32" s="234"/>
      <c r="L32" s="254">
        <f>IFERROR(VLOOKUP($F32,MxTransporte,4,FALSE)*$H32*($H$28/1000)*$H$13,0)</f>
        <v>0</v>
      </c>
      <c r="M32" s="10"/>
      <c r="N32" s="246">
        <f>IFERROR(VLOOKUP($F32,MxTransporte,12,FALSE)*$H32*($H$28/1000)*$H$13,0)</f>
        <v>0</v>
      </c>
      <c r="O32" s="10"/>
      <c r="P32" s="246">
        <f>IFERROR(VLOOKUP($F32,MxTransporte,16,FALSE)*$H32*($H$28/1000)*$H$13,0)</f>
        <v>0</v>
      </c>
      <c r="Q32" s="10"/>
      <c r="R32" s="244">
        <f>IFERROR(VLOOKUP($F32,MxTransporte,20,FALSE)*$H32*($H$28/1000)*$H$13,0)</f>
        <v>0</v>
      </c>
      <c r="S32" s="10"/>
      <c r="T32" s="10"/>
      <c r="U32" s="7"/>
      <c r="V32" s="7"/>
      <c r="W32" s="7"/>
      <c r="X32" s="7"/>
      <c r="Y32" s="7"/>
      <c r="Z32" s="7"/>
      <c r="AA32" s="7"/>
      <c r="AB32" s="7"/>
      <c r="AC32" s="7"/>
      <c r="AD32" s="7"/>
      <c r="AE32" s="7"/>
      <c r="AF32" s="7"/>
      <c r="AG32" s="7"/>
      <c r="AH32" s="7"/>
      <c r="AI32" s="7"/>
      <c r="AJ32" s="7"/>
      <c r="AK32" s="7"/>
      <c r="AL32" s="7"/>
      <c r="AM32" s="7"/>
      <c r="AN32" s="7"/>
    </row>
    <row r="33" spans="1:40" s="6" customFormat="1" ht="13.5" customHeight="1" thickBot="1">
      <c r="A33" s="7"/>
      <c r="B33" s="171"/>
      <c r="C33" s="171"/>
      <c r="D33" s="171"/>
      <c r="E33" s="171"/>
      <c r="F33" s="171"/>
      <c r="G33" s="171"/>
      <c r="H33" s="171"/>
      <c r="I33" s="171"/>
      <c r="J33" s="7"/>
      <c r="K33" s="234"/>
      <c r="L33" s="433">
        <f>IF($T$33=TRUE,Konstanten!C$36*$H28/1000*DefTransD,SUM(L30:L32))</f>
        <v>0</v>
      </c>
      <c r="M33" s="434"/>
      <c r="N33" s="435">
        <f>IF($T$33=TRUE,Konstanten!D$36*$H28/1000*DefTransD,SUM(N30:N32))</f>
        <v>0</v>
      </c>
      <c r="O33" s="435"/>
      <c r="P33" s="435">
        <f>IF($T$33=TRUE,Konstanten!E$36*$H28/1000*DefTransD,SUM(P30:P32))</f>
        <v>0</v>
      </c>
      <c r="Q33" s="435"/>
      <c r="R33" s="435">
        <f>IF($T$33=TRUE,Konstanten!F$36*$H28/1000*DefTransD,SUM(R30:R32))</f>
        <v>0</v>
      </c>
      <c r="S33" s="434"/>
      <c r="T33" s="442" t="b">
        <v>1</v>
      </c>
      <c r="U33" s="7"/>
      <c r="V33" s="7"/>
      <c r="W33" s="7"/>
      <c r="X33" s="7"/>
      <c r="Y33" s="7"/>
      <c r="Z33" s="7"/>
      <c r="AA33" s="7"/>
      <c r="AB33" s="7"/>
      <c r="AC33" s="7"/>
      <c r="AD33" s="7"/>
      <c r="AE33" s="7"/>
      <c r="AF33" s="7"/>
      <c r="AG33" s="7"/>
      <c r="AH33" s="7"/>
      <c r="AI33" s="7"/>
      <c r="AJ33" s="7"/>
      <c r="AK33" s="7"/>
      <c r="AL33" s="7"/>
      <c r="AM33" s="7"/>
      <c r="AN33" s="7"/>
    </row>
    <row r="34" spans="1:40" s="6" customFormat="1" ht="14.25" customHeight="1" thickBot="1">
      <c r="A34" s="7"/>
      <c r="B34" s="300"/>
      <c r="C34" s="300"/>
      <c r="D34" s="374" t="s">
        <v>56</v>
      </c>
      <c r="E34" s="374"/>
      <c r="F34" s="374" t="s">
        <v>325</v>
      </c>
      <c r="G34" s="374"/>
      <c r="H34" s="375" t="s">
        <v>324</v>
      </c>
      <c r="I34" s="374" t="s">
        <v>158</v>
      </c>
      <c r="J34" s="7"/>
      <c r="K34" s="239" t="s">
        <v>238</v>
      </c>
      <c r="L34" s="420" t="s">
        <v>160</v>
      </c>
      <c r="M34" s="421"/>
      <c r="N34" s="421" t="s">
        <v>161</v>
      </c>
      <c r="O34" s="421"/>
      <c r="P34" s="421" t="s">
        <v>161</v>
      </c>
      <c r="Q34" s="421"/>
      <c r="R34" s="421" t="s">
        <v>162</v>
      </c>
      <c r="S34" s="421"/>
      <c r="T34" s="421" t="s">
        <v>328</v>
      </c>
      <c r="U34" s="7"/>
      <c r="V34" s="7"/>
      <c r="W34" s="7"/>
      <c r="X34" s="7"/>
      <c r="Y34" s="7"/>
      <c r="Z34" s="7"/>
      <c r="AA34" s="7"/>
      <c r="AB34" s="7"/>
      <c r="AC34" s="7"/>
      <c r="AD34" s="7"/>
      <c r="AE34" s="7"/>
      <c r="AF34" s="7"/>
      <c r="AG34" s="7"/>
      <c r="AH34" s="7"/>
      <c r="AI34" s="7"/>
      <c r="AJ34" s="7"/>
      <c r="AK34" s="7"/>
      <c r="AL34" s="7"/>
      <c r="AM34" s="7"/>
      <c r="AN34" s="7"/>
    </row>
    <row r="35" spans="1:40" s="6" customFormat="1" ht="13.5" customHeight="1">
      <c r="A35" s="7"/>
      <c r="B35" s="300"/>
      <c r="C35" s="305" t="s">
        <v>336</v>
      </c>
      <c r="D35" s="468"/>
      <c r="E35" s="469"/>
      <c r="F35" s="472"/>
      <c r="G35" s="473"/>
      <c r="H35" s="376"/>
      <c r="I35" s="379" t="str">
        <f>IF(ISBLANK(H35),"","kWh")</f>
        <v/>
      </c>
      <c r="J35" s="7"/>
      <c r="K35" s="342" t="s">
        <v>355</v>
      </c>
      <c r="L35" s="254">
        <f>IFERROR(VLOOKUP($F35,MxEnergieS,4,FALSE)*($H35/$H$38)*$D$13*Anzahl*$P$45,0)</f>
        <v>0</v>
      </c>
      <c r="M35" s="369"/>
      <c r="N35" s="418">
        <f>IFERROR(VLOOKUP($F35,MxEnergieS,6,FALSE)*($H35/$H$38)*$D$13*Anzahl*$P$45,0)</f>
        <v>0</v>
      </c>
      <c r="O35" s="369"/>
      <c r="P35" s="418">
        <f>IFERROR(VLOOKUP($F35,MxEnergieS,7,FALSE)*($H35/$H$38)*$D$13*Anzahl*$P$45,0)</f>
        <v>0</v>
      </c>
      <c r="Q35" s="369"/>
      <c r="R35" s="419">
        <f>IFERROR(VLOOKUP($F35,MxEnergieS,9,FALSE)*($H35/$H$38)*$D$13*Anzahl*$P$45,0)</f>
        <v>0</v>
      </c>
      <c r="S35" s="343"/>
      <c r="T35" s="10"/>
      <c r="U35" s="7"/>
      <c r="V35" s="7"/>
      <c r="W35" s="7"/>
      <c r="X35" s="7"/>
      <c r="Y35" s="7"/>
      <c r="Z35" s="7"/>
      <c r="AA35" s="7"/>
      <c r="AB35" s="7"/>
      <c r="AC35" s="7"/>
      <c r="AD35" s="7"/>
      <c r="AE35" s="7"/>
      <c r="AF35" s="7"/>
      <c r="AG35" s="7"/>
      <c r="AH35" s="7"/>
      <c r="AI35" s="7"/>
      <c r="AJ35" s="7"/>
      <c r="AK35" s="7"/>
      <c r="AL35" s="7"/>
      <c r="AM35" s="7"/>
      <c r="AN35" s="7"/>
    </row>
    <row r="36" spans="1:40" s="6" customFormat="1" ht="13.5" customHeight="1">
      <c r="A36" s="7"/>
      <c r="B36" s="300"/>
      <c r="C36" s="300"/>
      <c r="D36" s="468"/>
      <c r="E36" s="469"/>
      <c r="F36" s="472"/>
      <c r="G36" s="473"/>
      <c r="H36" s="376"/>
      <c r="I36" s="379" t="str">
        <f t="shared" ref="I36:I37" si="11">IF(ISBLANK(H36),"","kWh")</f>
        <v/>
      </c>
      <c r="J36" s="7"/>
      <c r="K36" s="10"/>
      <c r="L36" s="254">
        <f>IFERROR(VLOOKUP($F36,MxEnergieS,4,FALSE)*($H36/$H$38)*$D$13*Anzahl*$P$45,0)</f>
        <v>0</v>
      </c>
      <c r="M36" s="369"/>
      <c r="N36" s="418">
        <f>IFERROR(VLOOKUP($F36,MxEnergieS,6,FALSE)*($H36/$H$38)*$D$13*Anzahl*$P$45,0)</f>
        <v>0</v>
      </c>
      <c r="O36" s="369"/>
      <c r="P36" s="418">
        <f>IFERROR(VLOOKUP($F36,MxEnergieS,7,FALSE)*($H36/$H$38)*$D$13*Anzahl*$P$45,0)</f>
        <v>0</v>
      </c>
      <c r="Q36" s="369"/>
      <c r="R36" s="419">
        <f>IFERROR(VLOOKUP($F36,MxEnergieS,9,FALSE)*($H36/$H$38)*$D$13*Anzahl*$P$45,0)</f>
        <v>0</v>
      </c>
      <c r="S36" s="343"/>
      <c r="T36" s="343"/>
      <c r="U36" s="7"/>
      <c r="V36" s="7"/>
      <c r="W36" s="7"/>
      <c r="X36" s="7"/>
      <c r="Y36" s="7"/>
      <c r="Z36" s="7"/>
      <c r="AA36" s="7"/>
      <c r="AB36" s="7"/>
      <c r="AC36" s="7"/>
      <c r="AD36" s="7"/>
      <c r="AE36" s="7"/>
      <c r="AF36" s="7"/>
      <c r="AG36" s="7"/>
      <c r="AH36" s="7"/>
      <c r="AI36" s="7"/>
      <c r="AJ36" s="7"/>
      <c r="AK36" s="7"/>
      <c r="AL36" s="7"/>
      <c r="AM36" s="7"/>
      <c r="AN36" s="7"/>
    </row>
    <row r="37" spans="1:40" s="6" customFormat="1" ht="13.5" customHeight="1" thickBot="1">
      <c r="A37" s="7"/>
      <c r="B37" s="300"/>
      <c r="C37" s="300"/>
      <c r="D37" s="468"/>
      <c r="E37" s="469"/>
      <c r="F37" s="472"/>
      <c r="G37" s="473"/>
      <c r="H37" s="376"/>
      <c r="I37" s="379" t="str">
        <f t="shared" si="11"/>
        <v/>
      </c>
      <c r="J37" s="7"/>
      <c r="K37" s="10"/>
      <c r="L37" s="254">
        <f>IFERROR(VLOOKUP($F37,MxEnergieS,4,FALSE)*($H37/$H$38)*$D$13*Anzahl*$P$45,0)</f>
        <v>0</v>
      </c>
      <c r="M37" s="369"/>
      <c r="N37" s="418">
        <f>IFERROR(VLOOKUP($F37,MxEnergieS,6,FALSE)*($H37/$H$38)*$D$13*Anzahl*$P$45,0)</f>
        <v>0</v>
      </c>
      <c r="O37" s="369"/>
      <c r="P37" s="418">
        <f>IFERROR(VLOOKUP($F37,MxEnergieS,7,FALSE)*($H37/$H$38)*$D$13*Anzahl*$P$45,0)</f>
        <v>0</v>
      </c>
      <c r="Q37" s="369"/>
      <c r="R37" s="419">
        <f>IFERROR(VLOOKUP($F37,MxEnergieS,9,FALSE)*($H37/$H$38)*$D$13*Anzahl*$P$45,0)</f>
        <v>0</v>
      </c>
      <c r="S37" s="343"/>
      <c r="T37" s="343"/>
      <c r="U37" s="7"/>
      <c r="V37" s="7"/>
      <c r="W37" s="7"/>
      <c r="X37" s="7"/>
      <c r="Y37" s="7"/>
      <c r="Z37" s="7"/>
      <c r="AA37" s="7"/>
      <c r="AB37" s="7"/>
      <c r="AC37" s="7"/>
      <c r="AD37" s="7"/>
      <c r="AE37" s="7"/>
      <c r="AF37" s="7"/>
      <c r="AG37" s="7"/>
      <c r="AH37" s="7"/>
      <c r="AI37" s="7"/>
      <c r="AJ37" s="7"/>
      <c r="AK37" s="7"/>
      <c r="AL37" s="7"/>
      <c r="AM37" s="7"/>
      <c r="AN37" s="7"/>
    </row>
    <row r="38" spans="1:40" s="6" customFormat="1" ht="13.5" customHeight="1" thickBot="1">
      <c r="A38" s="7"/>
      <c r="B38" s="300"/>
      <c r="C38" s="300"/>
      <c r="D38" s="352" t="str">
        <f>IF(T38=TRUE,"Übernahme Werte aus Blatt Start",IF(OR(H38&gt;1.01,H38&lt;0.99),DeklAnteilNotOK,DeklAnteilOK))</f>
        <v>Übernahme Werte aus Blatt Start</v>
      </c>
      <c r="E38" s="147"/>
      <c r="F38" s="300"/>
      <c r="G38" s="300"/>
      <c r="H38" s="383" t="str">
        <f>IF(T38=TRUE,"",SUM(H35:H37))</f>
        <v/>
      </c>
      <c r="I38" s="380"/>
      <c r="J38" s="7"/>
      <c r="K38" s="422"/>
      <c r="L38" s="426">
        <f>IF($T$38=TRUE,L$9*$P$45*$D$13*Anzahl,SUM(L$35:L$37))</f>
        <v>0</v>
      </c>
      <c r="M38" s="428"/>
      <c r="N38" s="427">
        <f>IF($T$38=TRUE,N$9*$P$45*$D$13*Anzahl,SUM(N$35:N$37))</f>
        <v>0</v>
      </c>
      <c r="O38" s="428"/>
      <c r="P38" s="427">
        <f>IF($T$38=TRUE,P$9*$P$45*$D$13*Anzahl,SUM(P$35:P$37))</f>
        <v>0</v>
      </c>
      <c r="Q38" s="428"/>
      <c r="R38" s="429">
        <f>IF($T$38=TRUE,R$9*$P$45*$D$13*Anzahl,SUM(R$35:R$37))</f>
        <v>0</v>
      </c>
      <c r="S38" s="421"/>
      <c r="T38" s="442" t="b">
        <v>1</v>
      </c>
      <c r="U38" s="7"/>
      <c r="V38" s="7"/>
      <c r="W38" s="7"/>
      <c r="X38" s="7"/>
      <c r="Y38" s="7"/>
      <c r="Z38" s="7"/>
      <c r="AA38" s="7"/>
      <c r="AB38" s="7"/>
      <c r="AC38" s="7"/>
      <c r="AD38" s="7"/>
      <c r="AE38" s="7"/>
      <c r="AF38" s="7"/>
      <c r="AG38" s="7"/>
      <c r="AH38" s="7"/>
      <c r="AI38" s="7"/>
      <c r="AJ38" s="7"/>
      <c r="AK38" s="7"/>
      <c r="AL38" s="7"/>
      <c r="AM38" s="7"/>
      <c r="AN38" s="7"/>
    </row>
    <row r="39" spans="1:40" s="6" customFormat="1" ht="13.5" customHeight="1">
      <c r="A39" s="7"/>
      <c r="B39" s="300"/>
      <c r="C39" s="305" t="s">
        <v>337</v>
      </c>
      <c r="D39" s="468"/>
      <c r="E39" s="469"/>
      <c r="F39" s="472"/>
      <c r="G39" s="473"/>
      <c r="H39" s="376"/>
      <c r="I39" s="379" t="str">
        <f>IF(ISBLANK(H39),"","kWh")</f>
        <v/>
      </c>
      <c r="J39" s="7"/>
      <c r="K39" s="239" t="s">
        <v>238</v>
      </c>
      <c r="L39" s="254">
        <f>IFERROR(VLOOKUP($F39,MxEnergieW,4,FALSE)*($H39/$H$42)*$D$13*Anzahl*$R$45,0)</f>
        <v>0</v>
      </c>
      <c r="M39" s="343"/>
      <c r="N39" s="423">
        <f>IFERROR(VLOOKUP($F39,MxEnergieW,6,FALSE)*($H39/$H$42)*$D$13*Anzahl*$R$45,0)</f>
        <v>0</v>
      </c>
      <c r="O39" s="424"/>
      <c r="P39" s="423">
        <f>IFERROR(VLOOKUP($F39,MxEnergieW,7,FALSE)*($H39/$H$42)*$D$13*Anzahl*$R$45,0)</f>
        <v>0</v>
      </c>
      <c r="Q39" s="343"/>
      <c r="R39" s="425">
        <f>IFERROR(VLOOKUP($F39,MxEnergieW,9,FALSE)*($H39/$H$42)*$D$13*Anzahl*$R$45,0)</f>
        <v>0</v>
      </c>
      <c r="S39" s="343"/>
      <c r="T39" s="10"/>
      <c r="U39" s="7"/>
      <c r="V39" s="7"/>
      <c r="W39" s="7"/>
      <c r="X39" s="7"/>
      <c r="Y39" s="7"/>
      <c r="Z39" s="7"/>
      <c r="AA39" s="7"/>
      <c r="AB39" s="7"/>
      <c r="AC39" s="7"/>
      <c r="AD39" s="7"/>
      <c r="AE39" s="7"/>
      <c r="AF39" s="7"/>
      <c r="AG39" s="7"/>
      <c r="AH39" s="7"/>
      <c r="AI39" s="7"/>
      <c r="AJ39" s="7"/>
      <c r="AK39" s="7"/>
      <c r="AL39" s="7"/>
      <c r="AM39" s="7"/>
      <c r="AN39" s="7"/>
    </row>
    <row r="40" spans="1:40" s="6" customFormat="1" ht="13.5" customHeight="1">
      <c r="A40" s="7"/>
      <c r="B40" s="300"/>
      <c r="C40" s="300"/>
      <c r="D40" s="468"/>
      <c r="E40" s="469"/>
      <c r="F40" s="472"/>
      <c r="G40" s="473"/>
      <c r="H40" s="376"/>
      <c r="I40" s="379" t="str">
        <f t="shared" ref="I40:I41" si="12">IF(ISBLANK(H40),"","kWh")</f>
        <v/>
      </c>
      <c r="J40" s="7"/>
      <c r="K40" s="145" t="s">
        <v>356</v>
      </c>
      <c r="L40" s="254">
        <f>IFERROR(VLOOKUP($F40,MxEnergieW,4,FALSE)*($H40/$H$42)*$D$13*Anzahl*$R$45,0)</f>
        <v>0</v>
      </c>
      <c r="M40" s="343"/>
      <c r="N40" s="423">
        <f>IFERROR(VLOOKUP($F40,MxEnergieW,6,FALSE)*($H40/$H$42)*$D$13*Anzahl*$R$45,0)</f>
        <v>0</v>
      </c>
      <c r="O40" s="424"/>
      <c r="P40" s="423">
        <f>IFERROR(VLOOKUP($F40,MxEnergieW,7,FALSE)*($H40/$H$42)*$D$13*Anzahl*$R$45,0)</f>
        <v>0</v>
      </c>
      <c r="Q40" s="343"/>
      <c r="R40" s="425">
        <f>IFERROR(VLOOKUP($F40,MxEnergieW,9,FALSE)*($H40/$H$42)*$D$13*Anzahl*$R$45,0)</f>
        <v>0</v>
      </c>
      <c r="S40" s="343"/>
      <c r="T40" s="343"/>
      <c r="U40" s="7"/>
      <c r="V40" s="7"/>
      <c r="W40" s="7"/>
      <c r="X40" s="7"/>
      <c r="Y40" s="7"/>
      <c r="Z40" s="7"/>
      <c r="AA40" s="7"/>
      <c r="AB40" s="7"/>
      <c r="AC40" s="7"/>
      <c r="AD40" s="7"/>
      <c r="AE40" s="7"/>
      <c r="AF40" s="7"/>
      <c r="AG40" s="7"/>
      <c r="AH40" s="7"/>
      <c r="AI40" s="7"/>
      <c r="AJ40" s="7"/>
      <c r="AK40" s="7"/>
      <c r="AL40" s="7"/>
      <c r="AM40" s="7"/>
      <c r="AN40" s="7"/>
    </row>
    <row r="41" spans="1:40" s="6" customFormat="1" ht="13.5" customHeight="1" thickBot="1">
      <c r="A41" s="7"/>
      <c r="B41" s="300"/>
      <c r="C41" s="300"/>
      <c r="D41" s="468"/>
      <c r="E41" s="469"/>
      <c r="F41" s="472"/>
      <c r="G41" s="473"/>
      <c r="H41" s="376"/>
      <c r="I41" s="379" t="str">
        <f t="shared" si="12"/>
        <v/>
      </c>
      <c r="J41" s="7"/>
      <c r="K41" s="10"/>
      <c r="L41" s="254">
        <f>IFERROR(VLOOKUP($F41,MxEnergieW,4,FALSE)*($H41/$H$42)*$D$13*Anzahl*$R$45,0)</f>
        <v>0</v>
      </c>
      <c r="M41" s="343"/>
      <c r="N41" s="423">
        <f>IFERROR(VLOOKUP($F41,MxEnergieW,6,FALSE)*($H41/$H$42)*$D$13*Anzahl*$R$45,0)</f>
        <v>0</v>
      </c>
      <c r="O41" s="424"/>
      <c r="P41" s="423">
        <f>IFERROR(VLOOKUP($F41,MxEnergieW,7,FALSE)*($H41/$H$42)*$D$13*Anzahl*$R$45,0)</f>
        <v>0</v>
      </c>
      <c r="Q41" s="343"/>
      <c r="R41" s="425">
        <f>IFERROR(VLOOKUP($F41,MxEnergieW,9,FALSE)*($H41/$H$42)*$D$13*Anzahl*$R$45,0)</f>
        <v>0</v>
      </c>
      <c r="S41" s="343"/>
      <c r="T41" s="343"/>
      <c r="U41" s="7"/>
      <c r="V41" s="7"/>
      <c r="W41" s="7"/>
      <c r="X41" s="7"/>
      <c r="Y41" s="7"/>
      <c r="Z41" s="7"/>
      <c r="AA41" s="7"/>
      <c r="AB41" s="7"/>
      <c r="AC41" s="7"/>
      <c r="AD41" s="7"/>
      <c r="AE41" s="7"/>
      <c r="AF41" s="7"/>
      <c r="AG41" s="7"/>
      <c r="AH41" s="7"/>
      <c r="AI41" s="7"/>
      <c r="AJ41" s="7"/>
      <c r="AK41" s="7"/>
      <c r="AL41" s="7"/>
      <c r="AM41" s="7"/>
      <c r="AN41" s="7"/>
    </row>
    <row r="42" spans="1:40" s="6" customFormat="1" ht="13.5" customHeight="1" thickBot="1">
      <c r="A42" s="7"/>
      <c r="B42" s="300"/>
      <c r="C42" s="300"/>
      <c r="D42" s="352" t="str">
        <f>IF(T42=TRUE,"Übernahme Werte aus Blatt Start",IF(OR(H42&gt;1.01,H42&lt;0.99),DeklAnteilNotOK,DeklAnteilOK))</f>
        <v>Übernahme Werte aus Blatt Start</v>
      </c>
      <c r="E42" s="147"/>
      <c r="F42" s="300"/>
      <c r="G42" s="300"/>
      <c r="H42" s="383" t="str">
        <f>IF(T42=TRUE,"",SUM(H39:H41))</f>
        <v/>
      </c>
      <c r="I42" s="300"/>
      <c r="J42" s="7"/>
      <c r="K42" s="342"/>
      <c r="L42" s="426">
        <f>IF($T$42=TRUE,L$11*R45*D13*Anzahl,SUM(L$39:L$41))</f>
        <v>0</v>
      </c>
      <c r="M42" s="428"/>
      <c r="N42" s="427">
        <f>IF($T$42=TRUE,N$11*R45*D13*Anzahl,SUM(N$39:N$41))</f>
        <v>0</v>
      </c>
      <c r="O42" s="428"/>
      <c r="P42" s="427">
        <f>IF($T$42=TRUE,P$11*R45*D13*Anzahl,SUM(P$39:P$41))</f>
        <v>0</v>
      </c>
      <c r="Q42" s="428"/>
      <c r="R42" s="429">
        <f>IF($T$42=TRUE,R$11*R45*D13*Anzahl,SUM(R$39:R$41))</f>
        <v>0</v>
      </c>
      <c r="S42" s="241"/>
      <c r="T42" s="442" t="b">
        <v>1</v>
      </c>
      <c r="U42" s="7"/>
      <c r="V42" s="7"/>
      <c r="W42" s="7"/>
      <c r="X42" s="7"/>
      <c r="Y42" s="7"/>
      <c r="Z42" s="7"/>
      <c r="AA42" s="7"/>
      <c r="AB42" s="7"/>
      <c r="AC42" s="7"/>
      <c r="AD42" s="7"/>
      <c r="AE42" s="7"/>
      <c r="AF42" s="7"/>
      <c r="AG42" s="7"/>
      <c r="AH42" s="7"/>
      <c r="AI42" s="7"/>
      <c r="AJ42" s="7"/>
      <c r="AK42" s="7"/>
      <c r="AL42" s="7"/>
      <c r="AM42" s="7"/>
      <c r="AN42" s="7"/>
    </row>
    <row r="43" spans="1:40" s="340" customFormat="1" ht="18.75" customHeight="1">
      <c r="A43" s="336"/>
      <c r="B43" s="348"/>
      <c r="C43" s="349" t="s">
        <v>410</v>
      </c>
      <c r="D43" s="349"/>
      <c r="E43" s="349"/>
      <c r="F43" s="349"/>
      <c r="G43" s="349"/>
      <c r="H43" s="349"/>
      <c r="I43" s="349"/>
      <c r="J43" s="336"/>
      <c r="K43" s="350" t="s">
        <v>354</v>
      </c>
      <c r="L43" s="385"/>
      <c r="M43" s="349"/>
      <c r="N43" s="349"/>
      <c r="O43" s="349"/>
      <c r="P43" s="349"/>
      <c r="Q43" s="349"/>
      <c r="R43" s="349"/>
      <c r="S43" s="349"/>
      <c r="T43" s="10"/>
      <c r="U43" s="7"/>
      <c r="V43" s="336"/>
      <c r="W43" s="336"/>
      <c r="X43" s="336"/>
      <c r="Y43" s="336"/>
      <c r="Z43" s="336"/>
      <c r="AA43" s="336"/>
      <c r="AB43" s="336"/>
      <c r="AC43" s="336"/>
      <c r="AD43" s="336"/>
      <c r="AE43" s="336"/>
      <c r="AF43" s="336"/>
      <c r="AG43" s="336"/>
      <c r="AH43" s="336"/>
      <c r="AI43" s="336"/>
      <c r="AJ43" s="336"/>
      <c r="AK43" s="336"/>
      <c r="AL43" s="336"/>
      <c r="AM43" s="336"/>
      <c r="AN43" s="336"/>
    </row>
    <row r="44" spans="1:40" s="6" customFormat="1" ht="14.25" customHeight="1">
      <c r="A44" s="7"/>
      <c r="B44" s="11"/>
      <c r="C44" s="10" t="s">
        <v>411</v>
      </c>
      <c r="D44" s="267" t="s">
        <v>417</v>
      </c>
      <c r="E44" s="10"/>
      <c r="F44" s="10" t="s">
        <v>233</v>
      </c>
      <c r="G44" s="10" t="s">
        <v>234</v>
      </c>
      <c r="H44" s="10"/>
      <c r="I44" s="10"/>
      <c r="J44" s="7"/>
      <c r="K44" s="304"/>
      <c r="L44" s="243"/>
      <c r="M44" s="304"/>
      <c r="N44" s="304"/>
      <c r="O44" s="304"/>
      <c r="P44" s="304"/>
      <c r="Q44" s="304"/>
      <c r="R44" s="304"/>
      <c r="S44" s="304"/>
      <c r="T44" s="304"/>
      <c r="U44" s="336"/>
      <c r="V44" s="7"/>
      <c r="W44" s="7"/>
      <c r="X44" s="7"/>
      <c r="Y44" s="7"/>
      <c r="Z44" s="7"/>
      <c r="AA44" s="7"/>
      <c r="AB44" s="7"/>
      <c r="AC44" s="7"/>
      <c r="AD44" s="7"/>
      <c r="AE44" s="7"/>
      <c r="AF44" s="7"/>
      <c r="AG44" s="7"/>
      <c r="AH44" s="7"/>
      <c r="AI44" s="7"/>
      <c r="AJ44" s="7"/>
      <c r="AK44" s="7"/>
      <c r="AL44" s="7"/>
      <c r="AM44" s="7"/>
      <c r="AN44" s="7"/>
    </row>
    <row r="45" spans="1:40" s="6" customFormat="1" ht="18" customHeight="1">
      <c r="A45" s="7"/>
      <c r="B45" s="11"/>
      <c r="C45" s="267"/>
      <c r="D45" s="295"/>
      <c r="E45" s="10"/>
      <c r="F45" s="351"/>
      <c r="G45" s="351"/>
      <c r="H45" s="10"/>
      <c r="I45" s="10"/>
      <c r="J45" s="7"/>
      <c r="K45" s="304"/>
      <c r="L45" s="386" t="s">
        <v>353</v>
      </c>
      <c r="M45" s="304">
        <f>IF(T45=TRUE,DefMatEffS,IF(OR(Produkt_3!MatEffG&lt;GWUMatEff,Produkt_3!MatEffG&gt;GWOMatEff),DefMatEff,Produkt_3!MatEffG))</f>
        <v>0.8</v>
      </c>
      <c r="N45" s="304"/>
      <c r="O45" s="304" t="s">
        <v>233</v>
      </c>
      <c r="P45" s="344">
        <f>IF(T45=TRUE,DefEnStromS,IF(OR(Produkt_3!EnStromG&lt;GWUEnStrom,Produkt_3!EnStromG&gt;GWOEnStrom),DefEnStrom,Produkt_3!EnStromG))</f>
        <v>0.8</v>
      </c>
      <c r="Q45" s="304" t="s">
        <v>234</v>
      </c>
      <c r="R45" s="432">
        <f>IF(T45=TRUE,DefEnWaermeS,IF(OR(Produkt_3!EnWaermeG&lt;GWUEnWaerme,Produkt_3!EnWaermeG&gt;GWOEnWaerme),DefEnWaerme,Produkt_3!EnWaermeG))</f>
        <v>1.4</v>
      </c>
      <c r="S45" s="304"/>
      <c r="T45" s="443" t="b">
        <v>1</v>
      </c>
      <c r="U45" s="7"/>
      <c r="V45" s="7"/>
      <c r="W45" s="7"/>
      <c r="X45" s="7"/>
      <c r="Y45" s="7"/>
      <c r="Z45" s="7"/>
      <c r="AA45" s="7"/>
      <c r="AB45" s="7"/>
      <c r="AC45" s="7"/>
      <c r="AD45" s="7"/>
      <c r="AE45" s="7"/>
      <c r="AF45" s="7"/>
      <c r="AG45" s="7"/>
      <c r="AH45" s="7"/>
      <c r="AI45" s="7"/>
      <c r="AJ45" s="7"/>
      <c r="AK45" s="7"/>
      <c r="AL45" s="7"/>
      <c r="AM45" s="7"/>
      <c r="AN45" s="7"/>
    </row>
    <row r="46" spans="1:40" s="6" customFormat="1" ht="56.25" customHeight="1">
      <c r="A46" s="7"/>
      <c r="B46" s="11"/>
      <c r="C46" s="267"/>
      <c r="D46" s="470" t="str">
        <f>IF($T$45=TRUE,"Übernahme Werte aus Blatt Start",IF(OR($D$45&lt;GWUMatEff,$D$45&gt;GWOMatEff),DeklMatEffNotOK,DeklAnteilOK))</f>
        <v>Übernahme Werte aus Blatt Start</v>
      </c>
      <c r="E46" s="470"/>
      <c r="F46" s="353" t="str">
        <f>IF($T$45=TRUE,"Übernahme Werte aus Blatt Start",IF(OR($F$45&lt;GWUEnStrom,$F$45&gt;GWOEnStrom),DeklEnEinsatzNotOK,DeklAnteilOK))</f>
        <v>Übernahme Werte aus Blatt Start</v>
      </c>
      <c r="G46" s="353" t="str">
        <f>IF($T$45=TRUE,"Übernahme Werte aus Blatt Start",IF(OR($G$45&lt;GWUEnWaerme,$G$45&gt;GWOEnWaerme),DeklEnEinsatzNotOK,DeklAnteilOK))</f>
        <v>Übernahme Werte aus Blatt Start</v>
      </c>
      <c r="H46" s="11"/>
      <c r="I46" s="10"/>
      <c r="J46" s="7"/>
      <c r="K46" s="304"/>
      <c r="L46" s="386"/>
      <c r="M46" s="304"/>
      <c r="N46" s="304"/>
      <c r="O46" s="304"/>
      <c r="P46" s="304"/>
      <c r="Q46" s="304"/>
      <c r="R46" s="304"/>
      <c r="S46" s="304"/>
      <c r="T46" s="304"/>
      <c r="U46" s="7"/>
      <c r="V46" s="7"/>
      <c r="W46" s="7"/>
      <c r="X46" s="7"/>
      <c r="Y46" s="7"/>
      <c r="Z46" s="7"/>
      <c r="AA46" s="7"/>
      <c r="AB46" s="7"/>
      <c r="AC46" s="7"/>
      <c r="AD46" s="7"/>
      <c r="AE46" s="7"/>
      <c r="AF46" s="7"/>
      <c r="AG46" s="7"/>
      <c r="AH46" s="7"/>
      <c r="AI46" s="7"/>
      <c r="AJ46" s="7"/>
      <c r="AK46" s="7"/>
      <c r="AL46" s="7"/>
      <c r="AM46" s="7"/>
      <c r="AN46" s="7"/>
    </row>
    <row r="47" spans="1:40" s="6" customFormat="1" ht="15.75" customHeight="1">
      <c r="A47" s="7"/>
      <c r="B47" s="11"/>
      <c r="C47" s="267"/>
      <c r="D47" s="470" t="str">
        <f>IF(OR(D46=DeklAnteilOK,$T$45=TRUE),"","Eingesetzter Wert: "&amp;DefMatEff*100&amp;" %")</f>
        <v/>
      </c>
      <c r="E47" s="470"/>
      <c r="F47" s="353" t="str">
        <f>IF(F46=DeklEnEinsatzNotOK,"Eingesetzter Wert: "&amp;DefEnStrom&amp;" kWh/kg","")</f>
        <v/>
      </c>
      <c r="G47" s="353" t="str">
        <f>IF(G46=DeklEnEinsatzNotOK,"Eingesetzter Wert: "&amp;DefEnWaerme&amp;" kWh/kg","")</f>
        <v/>
      </c>
      <c r="H47" s="11"/>
      <c r="I47" s="10"/>
      <c r="J47" s="7"/>
      <c r="K47" s="304"/>
      <c r="L47" s="305"/>
      <c r="M47" s="304"/>
      <c r="N47" s="304"/>
      <c r="O47" s="304"/>
      <c r="P47" s="304"/>
      <c r="Q47" s="304"/>
      <c r="R47" s="304"/>
      <c r="S47" s="304"/>
      <c r="T47" s="304"/>
      <c r="U47" s="7"/>
      <c r="V47" s="7"/>
      <c r="W47" s="7"/>
      <c r="X47" s="7"/>
      <c r="Y47" s="7"/>
      <c r="Z47" s="7"/>
      <c r="AA47" s="7"/>
      <c r="AB47" s="7"/>
      <c r="AC47" s="7"/>
      <c r="AD47" s="7"/>
      <c r="AE47" s="7"/>
      <c r="AF47" s="7"/>
      <c r="AG47" s="7"/>
      <c r="AH47" s="7"/>
      <c r="AI47" s="7"/>
      <c r="AJ47" s="7"/>
      <c r="AK47" s="7"/>
      <c r="AL47" s="7"/>
      <c r="AM47" s="7"/>
      <c r="AN47" s="7"/>
    </row>
    <row r="48" spans="1:40" s="341" customFormat="1" ht="4.5" customHeight="1">
      <c r="B48" s="299"/>
      <c r="C48" s="303"/>
      <c r="D48" s="377"/>
      <c r="E48" s="377"/>
      <c r="F48" s="377"/>
      <c r="G48" s="377"/>
      <c r="H48" s="299"/>
      <c r="K48" s="378"/>
      <c r="L48" s="378"/>
      <c r="M48" s="378"/>
      <c r="N48" s="378"/>
      <c r="O48" s="378"/>
      <c r="P48" s="378"/>
      <c r="Q48" s="378"/>
      <c r="R48" s="378"/>
      <c r="S48" s="378"/>
      <c r="T48" s="378"/>
      <c r="U48" s="7"/>
    </row>
    <row r="49" spans="1:40" s="6" customFormat="1" ht="9.75" customHeight="1">
      <c r="A49" s="7"/>
      <c r="B49" s="151"/>
      <c r="C49" s="151"/>
      <c r="D49" s="151"/>
      <c r="E49" s="151"/>
      <c r="F49" s="151"/>
      <c r="G49" s="151"/>
      <c r="H49" s="151"/>
      <c r="I49" s="151"/>
      <c r="J49" s="7"/>
      <c r="K49" s="358"/>
      <c r="L49" s="359"/>
      <c r="M49" s="341"/>
      <c r="N49" s="341"/>
      <c r="O49" s="341"/>
      <c r="P49" s="360"/>
      <c r="Q49" s="341"/>
      <c r="R49" s="361"/>
      <c r="S49" s="358"/>
      <c r="T49" s="358"/>
      <c r="U49" s="341"/>
      <c r="V49" s="7"/>
      <c r="W49" s="7"/>
      <c r="X49" s="7"/>
      <c r="Y49" s="7"/>
      <c r="Z49" s="7"/>
      <c r="AA49" s="7"/>
      <c r="AB49" s="7"/>
      <c r="AC49" s="7"/>
      <c r="AD49" s="7"/>
      <c r="AE49" s="7"/>
      <c r="AF49" s="7"/>
      <c r="AG49" s="7"/>
      <c r="AH49" s="7"/>
      <c r="AI49" s="7"/>
      <c r="AJ49" s="7"/>
      <c r="AK49" s="7"/>
      <c r="AL49" s="7"/>
      <c r="AM49" s="7"/>
      <c r="AN49" s="7"/>
    </row>
    <row r="50" spans="1:40" s="6" customFormat="1" ht="28.5" customHeight="1">
      <c r="A50" s="7"/>
      <c r="B50" s="151"/>
      <c r="C50" s="152" t="s">
        <v>357</v>
      </c>
      <c r="D50" s="153" t="s">
        <v>331</v>
      </c>
      <c r="E50" s="153" t="s">
        <v>333</v>
      </c>
      <c r="F50" s="153" t="s">
        <v>332</v>
      </c>
      <c r="G50" s="153" t="s">
        <v>137</v>
      </c>
      <c r="H50" s="153" t="s">
        <v>267</v>
      </c>
      <c r="I50" s="151"/>
      <c r="J50" s="7"/>
      <c r="K50" s="304" t="s">
        <v>175</v>
      </c>
      <c r="L50" s="436">
        <f>SUM(L16:L27,M16:M27,L33,L38,L42)</f>
        <v>0</v>
      </c>
      <c r="M50" s="304"/>
      <c r="N50" s="438">
        <f>SUM(N16:N27,O16:O27,N33,N38,N42)</f>
        <v>0</v>
      </c>
      <c r="O50" s="304"/>
      <c r="P50" s="438">
        <f>SUM(P16:P27,Q16:Q27,P33,P38,P42)</f>
        <v>0</v>
      </c>
      <c r="Q50" s="304"/>
      <c r="R50" s="437">
        <f>SUM(R16:R27,S16:S27,R33,R38,R42)</f>
        <v>0</v>
      </c>
      <c r="S50" s="304"/>
      <c r="T50" s="437">
        <f>SUM(T16:T27)</f>
        <v>0</v>
      </c>
      <c r="U50" s="7"/>
      <c r="V50" s="7"/>
      <c r="W50" s="7"/>
      <c r="X50" s="7"/>
      <c r="Y50" s="7"/>
      <c r="Z50" s="7"/>
      <c r="AA50" s="7"/>
      <c r="AB50" s="7"/>
      <c r="AC50" s="7"/>
      <c r="AD50" s="7"/>
      <c r="AE50" s="7"/>
      <c r="AF50" s="7"/>
      <c r="AG50" s="7"/>
      <c r="AH50" s="7"/>
      <c r="AI50" s="7"/>
      <c r="AJ50" s="7"/>
      <c r="AK50" s="7"/>
      <c r="AL50" s="7"/>
      <c r="AM50" s="7"/>
      <c r="AN50" s="7"/>
    </row>
    <row r="51" spans="1:40" s="6" customFormat="1" ht="19.5">
      <c r="A51" s="7"/>
      <c r="B51" s="151"/>
      <c r="C51" s="154"/>
      <c r="D51" s="155" t="s">
        <v>16</v>
      </c>
      <c r="E51" s="155" t="s">
        <v>154</v>
      </c>
      <c r="F51" s="155" t="s">
        <v>154</v>
      </c>
      <c r="G51" s="155" t="s">
        <v>240</v>
      </c>
      <c r="H51" s="155" t="s">
        <v>258</v>
      </c>
      <c r="I51" s="151"/>
      <c r="J51" s="7"/>
      <c r="K51" s="358"/>
      <c r="L51" s="359"/>
      <c r="M51" s="341"/>
      <c r="N51" s="341"/>
      <c r="O51" s="341"/>
      <c r="P51" s="360"/>
      <c r="Q51" s="341"/>
      <c r="R51" s="361"/>
      <c r="S51" s="358"/>
      <c r="T51" s="358"/>
      <c r="U51" s="7"/>
      <c r="V51" s="7"/>
      <c r="W51" s="7"/>
      <c r="X51" s="7"/>
      <c r="Y51" s="7"/>
      <c r="Z51" s="7"/>
      <c r="AA51" s="7"/>
      <c r="AB51" s="7"/>
      <c r="AC51" s="7"/>
      <c r="AD51" s="7"/>
      <c r="AE51" s="7"/>
      <c r="AF51" s="7"/>
      <c r="AG51" s="7"/>
      <c r="AH51" s="7"/>
      <c r="AI51" s="7"/>
      <c r="AJ51" s="7"/>
      <c r="AK51" s="7"/>
      <c r="AL51" s="7"/>
      <c r="AM51" s="7"/>
      <c r="AN51" s="7"/>
    </row>
    <row r="52" spans="1:40" s="6" customFormat="1">
      <c r="A52" s="7"/>
      <c r="B52" s="151"/>
      <c r="C52" s="156" t="s">
        <v>236</v>
      </c>
      <c r="D52" s="157">
        <f>IFERROR(SUM(L$16:L$27),0)</f>
        <v>0</v>
      </c>
      <c r="E52" s="158">
        <f>IFERROR(SUM(N$16:N$27),0)</f>
        <v>0</v>
      </c>
      <c r="F52" s="158">
        <f>IFERROR(SUM(P$16:P$27),0)</f>
        <v>0</v>
      </c>
      <c r="G52" s="159">
        <f>IFERROR(SUM(R$16:R$27),0)</f>
        <v>0</v>
      </c>
      <c r="H52" s="159">
        <f>IFERROR(SUM(T$16:T$27),0)</f>
        <v>0</v>
      </c>
      <c r="I52" s="160"/>
      <c r="J52" s="7"/>
      <c r="K52" s="362"/>
      <c r="L52" s="363"/>
      <c r="M52" s="364"/>
      <c r="N52" s="364"/>
      <c r="O52" s="364"/>
      <c r="P52" s="364"/>
      <c r="Q52" s="364"/>
      <c r="R52" s="364"/>
      <c r="S52" s="364"/>
      <c r="T52" s="364"/>
      <c r="U52" s="7"/>
      <c r="V52" s="7"/>
      <c r="W52" s="7"/>
      <c r="X52" s="7"/>
      <c r="Y52" s="7"/>
      <c r="Z52" s="7"/>
      <c r="AA52" s="7"/>
      <c r="AB52" s="7"/>
      <c r="AC52" s="7"/>
      <c r="AD52" s="7"/>
      <c r="AE52" s="7"/>
      <c r="AF52" s="7"/>
      <c r="AG52" s="7"/>
      <c r="AH52" s="7"/>
      <c r="AI52" s="7"/>
      <c r="AJ52" s="7"/>
      <c r="AK52" s="7"/>
      <c r="AL52" s="7"/>
      <c r="AM52" s="7"/>
      <c r="AN52" s="7"/>
    </row>
    <row r="53" spans="1:40" s="6" customFormat="1">
      <c r="A53" s="7"/>
      <c r="B53" s="151"/>
      <c r="C53" s="156" t="s">
        <v>237</v>
      </c>
      <c r="D53" s="157">
        <f>IFERROR(SUM(M$16:M$27),0)</f>
        <v>0</v>
      </c>
      <c r="E53" s="158">
        <f>IFERROR(SUM(O$16:O$27),0)</f>
        <v>0</v>
      </c>
      <c r="F53" s="158">
        <f>IFERROR(SUM(Q$16:Q$27),0)</f>
        <v>0</v>
      </c>
      <c r="G53" s="159">
        <f>IFERROR(SUM(S$16:S$27),0)</f>
        <v>0</v>
      </c>
      <c r="H53" s="161"/>
      <c r="I53" s="162"/>
      <c r="J53" s="7"/>
      <c r="K53" s="365"/>
      <c r="L53" s="366"/>
      <c r="M53" s="358"/>
      <c r="N53" s="358"/>
      <c r="O53" s="358"/>
      <c r="P53" s="360"/>
      <c r="Q53" s="341"/>
      <c r="R53" s="361"/>
      <c r="S53" s="358"/>
      <c r="T53" s="358"/>
      <c r="U53" s="7"/>
      <c r="V53" s="7"/>
      <c r="W53" s="7"/>
      <c r="X53" s="7"/>
      <c r="Y53" s="7"/>
      <c r="Z53" s="7"/>
      <c r="AA53" s="7"/>
      <c r="AB53" s="7"/>
      <c r="AC53" s="7"/>
      <c r="AD53" s="7"/>
      <c r="AE53" s="7"/>
      <c r="AF53" s="7"/>
      <c r="AG53" s="7"/>
      <c r="AH53" s="7"/>
      <c r="AI53" s="7"/>
      <c r="AJ53" s="7"/>
      <c r="AK53" s="7"/>
      <c r="AL53" s="7"/>
      <c r="AM53" s="7"/>
      <c r="AN53" s="7"/>
    </row>
    <row r="54" spans="1:40" s="6" customFormat="1">
      <c r="A54" s="7"/>
      <c r="B54" s="151"/>
      <c r="C54" s="163" t="s">
        <v>238</v>
      </c>
      <c r="D54" s="164">
        <f>IFERROR(SUM(L38,L42),0)</f>
        <v>0</v>
      </c>
      <c r="E54" s="165">
        <f>IFERROR(SUM(N38,N42),0)</f>
        <v>0</v>
      </c>
      <c r="F54" s="158">
        <f>IFERROR(SUM(P38,P42),0)</f>
        <v>0</v>
      </c>
      <c r="G54" s="159">
        <f>IFERROR(SUM(R38,R42),0)</f>
        <v>0</v>
      </c>
      <c r="H54" s="161"/>
      <c r="I54" s="162"/>
      <c r="J54" s="7"/>
      <c r="K54" s="365"/>
      <c r="L54" s="367"/>
      <c r="M54" s="358"/>
      <c r="N54" s="358"/>
      <c r="O54" s="358"/>
      <c r="P54" s="360"/>
      <c r="Q54" s="341"/>
      <c r="R54" s="361"/>
      <c r="S54" s="358"/>
      <c r="T54" s="358"/>
      <c r="U54" s="7"/>
      <c r="V54" s="7"/>
      <c r="W54" s="7"/>
      <c r="X54" s="7"/>
      <c r="Y54" s="7"/>
      <c r="Z54" s="7"/>
      <c r="AA54" s="7"/>
      <c r="AB54" s="7"/>
      <c r="AC54" s="7"/>
      <c r="AD54" s="7"/>
      <c r="AE54" s="7"/>
      <c r="AF54" s="7"/>
      <c r="AG54" s="7"/>
      <c r="AH54" s="7"/>
      <c r="AI54" s="7"/>
      <c r="AJ54" s="7"/>
      <c r="AK54" s="7"/>
      <c r="AL54" s="7"/>
      <c r="AM54" s="7"/>
      <c r="AN54" s="7"/>
    </row>
    <row r="55" spans="1:40" s="6" customFormat="1">
      <c r="A55" s="7"/>
      <c r="B55" s="151"/>
      <c r="C55" s="163" t="s">
        <v>60</v>
      </c>
      <c r="D55" s="164">
        <f>IFERROR(L33,0)</f>
        <v>0</v>
      </c>
      <c r="E55" s="165">
        <f>IFERROR(N33,0)</f>
        <v>0</v>
      </c>
      <c r="F55" s="165">
        <f>IFERROR(P33,0)</f>
        <v>0</v>
      </c>
      <c r="G55" s="166">
        <f>IFERROR(R33,0)</f>
        <v>0</v>
      </c>
      <c r="H55" s="161"/>
      <c r="I55" s="162"/>
      <c r="J55" s="7"/>
      <c r="K55" s="368"/>
      <c r="L55" s="367"/>
      <c r="M55" s="358"/>
      <c r="N55" s="358"/>
      <c r="O55" s="358"/>
      <c r="P55" s="360"/>
      <c r="Q55" s="341"/>
      <c r="R55" s="361"/>
      <c r="S55" s="358"/>
      <c r="T55" s="358"/>
      <c r="U55" s="7"/>
      <c r="V55" s="7"/>
      <c r="W55" s="7"/>
      <c r="X55" s="7"/>
      <c r="Y55" s="7"/>
      <c r="Z55" s="7"/>
      <c r="AA55" s="7"/>
      <c r="AB55" s="7"/>
      <c r="AC55" s="7"/>
      <c r="AD55" s="7"/>
      <c r="AE55" s="7"/>
      <c r="AF55" s="7"/>
      <c r="AG55" s="7"/>
      <c r="AH55" s="7"/>
      <c r="AI55" s="7"/>
      <c r="AJ55" s="7"/>
      <c r="AK55" s="7"/>
      <c r="AL55" s="7"/>
      <c r="AM55" s="7"/>
      <c r="AN55" s="7"/>
    </row>
    <row r="56" spans="1:40" s="6" customFormat="1" ht="15" customHeight="1">
      <c r="A56" s="7"/>
      <c r="B56" s="151"/>
      <c r="C56" s="167" t="s">
        <v>1</v>
      </c>
      <c r="D56" s="168">
        <f>SUM(D52:D55)</f>
        <v>0</v>
      </c>
      <c r="E56" s="169">
        <f>SUM(E52:E55)</f>
        <v>0</v>
      </c>
      <c r="F56" s="169">
        <f t="shared" ref="F56:H56" si="13">SUM(F52:F55)</f>
        <v>0</v>
      </c>
      <c r="G56" s="170">
        <f t="shared" si="13"/>
        <v>0</v>
      </c>
      <c r="H56" s="170">
        <f t="shared" si="13"/>
        <v>0</v>
      </c>
      <c r="I56" s="160"/>
      <c r="J56" s="7"/>
      <c r="K56" s="365"/>
      <c r="L56" s="366"/>
      <c r="M56" s="341"/>
      <c r="N56" s="341"/>
      <c r="O56" s="341"/>
      <c r="P56" s="341"/>
      <c r="Q56" s="341"/>
      <c r="R56" s="341"/>
      <c r="S56" s="341"/>
      <c r="T56" s="341"/>
      <c r="U56" s="7"/>
      <c r="V56" s="7"/>
      <c r="W56" s="7"/>
      <c r="X56" s="7"/>
      <c r="Y56" s="7"/>
      <c r="Z56" s="7"/>
      <c r="AA56" s="7"/>
      <c r="AB56" s="7"/>
      <c r="AC56" s="7"/>
      <c r="AD56" s="7"/>
      <c r="AE56" s="7"/>
      <c r="AF56" s="7"/>
      <c r="AG56" s="7"/>
      <c r="AH56" s="7"/>
      <c r="AI56" s="7"/>
      <c r="AJ56" s="7"/>
      <c r="AK56" s="7"/>
      <c r="AL56" s="7"/>
      <c r="AM56" s="7"/>
      <c r="AN56" s="7"/>
    </row>
    <row r="57" spans="1:40" s="6" customFormat="1">
      <c r="A57" s="7"/>
      <c r="B57" s="151"/>
      <c r="C57" s="151"/>
      <c r="D57" s="151"/>
      <c r="E57" s="151"/>
      <c r="F57" s="151"/>
      <c r="G57" s="151"/>
      <c r="H57" s="151"/>
      <c r="I57" s="151"/>
      <c r="J57" s="7"/>
      <c r="K57" s="365"/>
      <c r="L57" s="366"/>
      <c r="M57" s="341"/>
      <c r="N57" s="341"/>
      <c r="O57" s="341"/>
      <c r="P57" s="341"/>
      <c r="Q57" s="341"/>
      <c r="R57" s="341"/>
      <c r="S57" s="341"/>
      <c r="T57" s="341"/>
      <c r="U57" s="7"/>
      <c r="V57" s="7"/>
      <c r="W57" s="7"/>
      <c r="X57" s="7"/>
      <c r="Y57" s="7"/>
      <c r="Z57" s="7"/>
      <c r="AA57" s="7"/>
      <c r="AB57" s="7"/>
      <c r="AC57" s="7"/>
      <c r="AD57" s="7"/>
      <c r="AE57" s="7"/>
      <c r="AF57" s="7"/>
      <c r="AG57" s="7"/>
      <c r="AH57" s="7"/>
      <c r="AI57" s="7"/>
      <c r="AJ57" s="7"/>
      <c r="AK57" s="7"/>
      <c r="AL57" s="7"/>
      <c r="AM57" s="7"/>
      <c r="AN57" s="7"/>
    </row>
    <row r="58" spans="1:40" s="6" customForma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row>
    <row r="59" spans="1:40">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row>
    <row r="60" spans="1:40">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row>
    <row r="61" spans="1:40">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row>
    <row r="62" spans="1:40">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row>
    <row r="63" spans="1:40">
      <c r="A63" s="7"/>
      <c r="B63" s="7"/>
      <c r="C63" s="7"/>
      <c r="D63" s="7"/>
      <c r="E63" s="7"/>
      <c r="F63" s="7"/>
      <c r="G63" s="7"/>
      <c r="H63" s="7"/>
      <c r="I63" s="1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row>
    <row r="64" spans="1:40">
      <c r="A64" s="7"/>
      <c r="B64" s="7"/>
      <c r="C64" s="15"/>
      <c r="D64" s="15"/>
      <c r="E64" s="15"/>
      <c r="F64" s="15"/>
      <c r="G64" s="15"/>
      <c r="H64" s="15"/>
      <c r="I64" s="7"/>
      <c r="J64" s="7"/>
      <c r="K64" s="7"/>
      <c r="U64" s="7"/>
      <c r="V64" s="7"/>
      <c r="W64" s="7"/>
      <c r="X64" s="7"/>
      <c r="Y64" s="7"/>
      <c r="Z64" s="7"/>
      <c r="AA64" s="7"/>
      <c r="AB64" s="7"/>
      <c r="AC64" s="7"/>
      <c r="AD64" s="7"/>
      <c r="AE64" s="7"/>
      <c r="AF64" s="7"/>
      <c r="AG64" s="7"/>
      <c r="AH64" s="7"/>
      <c r="AI64" s="7"/>
      <c r="AJ64" s="7"/>
      <c r="AK64" s="7"/>
      <c r="AL64" s="7"/>
      <c r="AM64" s="7"/>
      <c r="AN64" s="7"/>
    </row>
    <row r="65" spans="1:40">
      <c r="A65" s="7"/>
      <c r="B65" s="8"/>
      <c r="C65" s="7"/>
      <c r="D65" s="7"/>
      <c r="E65" s="7"/>
      <c r="F65" s="7"/>
      <c r="G65" s="7"/>
      <c r="H65" s="7"/>
      <c r="I65" s="7"/>
      <c r="J65" s="7"/>
      <c r="K65" s="7"/>
      <c r="U65" s="7"/>
      <c r="V65" s="7"/>
      <c r="W65" s="7"/>
      <c r="X65" s="7"/>
      <c r="Y65" s="7"/>
      <c r="Z65" s="7"/>
      <c r="AA65" s="7"/>
      <c r="AB65" s="7"/>
      <c r="AC65" s="7"/>
      <c r="AD65" s="7"/>
      <c r="AE65" s="7"/>
      <c r="AF65" s="7"/>
      <c r="AG65" s="7"/>
      <c r="AH65" s="7"/>
      <c r="AI65" s="7"/>
      <c r="AJ65" s="7"/>
      <c r="AK65" s="7"/>
      <c r="AL65" s="7"/>
      <c r="AM65" s="7"/>
      <c r="AN65" s="7"/>
    </row>
    <row r="66" spans="1:40">
      <c r="A66" s="7"/>
      <c r="B66" s="7"/>
      <c r="C66" s="7"/>
      <c r="D66" s="7"/>
      <c r="E66" s="7"/>
      <c r="F66" s="7"/>
      <c r="G66" s="7"/>
      <c r="H66" s="7"/>
      <c r="I66" s="7"/>
      <c r="J66" s="7"/>
      <c r="K66" s="7"/>
      <c r="U66" s="7"/>
      <c r="V66" s="7"/>
      <c r="W66" s="7"/>
      <c r="X66" s="7"/>
      <c r="Y66" s="7"/>
      <c r="Z66" s="7"/>
      <c r="AA66" s="7"/>
      <c r="AB66" s="7"/>
      <c r="AC66" s="7"/>
      <c r="AD66" s="7"/>
      <c r="AE66" s="7"/>
      <c r="AF66" s="7"/>
      <c r="AG66" s="7"/>
      <c r="AH66" s="7"/>
      <c r="AI66" s="7"/>
      <c r="AJ66" s="7"/>
      <c r="AK66" s="7"/>
      <c r="AL66" s="7"/>
      <c r="AM66" s="7"/>
      <c r="AN66" s="7"/>
    </row>
    <row r="67" spans="1:40">
      <c r="A67" s="7"/>
      <c r="B67" s="8"/>
      <c r="C67" s="7"/>
      <c r="D67" s="7"/>
      <c r="E67" s="7"/>
      <c r="F67" s="7"/>
      <c r="G67" s="7"/>
      <c r="H67" s="7"/>
      <c r="I67" s="7"/>
      <c r="J67" s="7"/>
      <c r="K67" s="7"/>
      <c r="U67" s="7"/>
      <c r="V67" s="7"/>
      <c r="W67" s="7"/>
      <c r="X67" s="7"/>
      <c r="Y67" s="7"/>
      <c r="Z67" s="7"/>
      <c r="AA67" s="7"/>
      <c r="AB67" s="7"/>
      <c r="AC67" s="7"/>
      <c r="AD67" s="7"/>
      <c r="AE67" s="7"/>
      <c r="AF67" s="7"/>
      <c r="AG67" s="7"/>
      <c r="AH67" s="7"/>
      <c r="AI67" s="7"/>
      <c r="AJ67" s="7"/>
      <c r="AK67" s="7"/>
      <c r="AL67" s="7"/>
      <c r="AM67" s="7"/>
      <c r="AN67" s="7"/>
    </row>
    <row r="68" spans="1:40">
      <c r="A68" s="7"/>
      <c r="B68" s="7"/>
      <c r="C68" s="7"/>
      <c r="D68" s="7"/>
      <c r="E68" s="7"/>
      <c r="F68" s="7"/>
      <c r="G68" s="7"/>
      <c r="H68" s="7"/>
      <c r="I68" s="7"/>
      <c r="J68" s="7"/>
      <c r="K68" s="7"/>
      <c r="U68" s="7"/>
      <c r="V68" s="7"/>
      <c r="W68" s="7"/>
      <c r="X68" s="7"/>
      <c r="Y68" s="7"/>
      <c r="Z68" s="7"/>
      <c r="AA68" s="7"/>
      <c r="AB68" s="7"/>
      <c r="AC68" s="7"/>
      <c r="AD68" s="7"/>
      <c r="AE68" s="7"/>
      <c r="AF68" s="7"/>
      <c r="AG68" s="7"/>
      <c r="AH68" s="7"/>
      <c r="AI68" s="7"/>
      <c r="AJ68" s="7"/>
      <c r="AK68" s="7"/>
      <c r="AL68" s="7"/>
      <c r="AM68" s="7"/>
      <c r="AN68" s="7"/>
    </row>
    <row r="69" spans="1:40">
      <c r="A69" s="7"/>
      <c r="B69" s="7"/>
      <c r="C69" s="7"/>
      <c r="D69" s="7"/>
      <c r="E69" s="7"/>
      <c r="F69" s="7"/>
      <c r="G69" s="7"/>
      <c r="H69" s="7"/>
      <c r="I69" s="7"/>
      <c r="J69" s="7"/>
      <c r="K69" s="7"/>
      <c r="U69" s="7"/>
      <c r="V69" s="7"/>
      <c r="W69" s="7"/>
      <c r="X69" s="7"/>
      <c r="Y69" s="7"/>
      <c r="Z69" s="7"/>
      <c r="AA69" s="7"/>
      <c r="AB69" s="7"/>
      <c r="AC69" s="7"/>
      <c r="AD69" s="7"/>
      <c r="AE69" s="7"/>
      <c r="AF69" s="7"/>
      <c r="AG69" s="7"/>
      <c r="AH69" s="7"/>
      <c r="AI69" s="7"/>
      <c r="AJ69" s="7"/>
      <c r="AK69" s="7"/>
      <c r="AL69" s="7"/>
      <c r="AM69" s="7"/>
      <c r="AN69" s="7"/>
    </row>
    <row r="70" spans="1:40">
      <c r="A70" s="7"/>
      <c r="B70" s="7"/>
      <c r="C70" s="7"/>
      <c r="D70" s="7"/>
      <c r="E70" s="7"/>
      <c r="F70" s="7"/>
      <c r="G70" s="7"/>
      <c r="H70" s="7"/>
      <c r="I70" s="7"/>
      <c r="J70" s="7"/>
      <c r="K70" s="7"/>
      <c r="U70" s="7"/>
      <c r="V70" s="7"/>
      <c r="W70" s="7"/>
      <c r="X70" s="7"/>
      <c r="Y70" s="7"/>
      <c r="Z70" s="7"/>
      <c r="AA70" s="7"/>
      <c r="AB70" s="7"/>
      <c r="AC70" s="7"/>
      <c r="AD70" s="7"/>
      <c r="AE70" s="7"/>
      <c r="AF70" s="7"/>
      <c r="AG70" s="7"/>
      <c r="AH70" s="7"/>
      <c r="AI70" s="7"/>
      <c r="AJ70" s="7"/>
      <c r="AK70" s="7"/>
      <c r="AL70" s="7"/>
      <c r="AM70" s="7"/>
      <c r="AN70" s="7"/>
    </row>
    <row r="71" spans="1:40">
      <c r="A71" s="7"/>
      <c r="B71" s="7"/>
      <c r="C71" s="7"/>
      <c r="D71" s="7"/>
      <c r="E71" s="7"/>
      <c r="F71" s="7"/>
      <c r="G71" s="7"/>
      <c r="H71" s="7"/>
      <c r="I71" s="7"/>
      <c r="J71" s="7"/>
      <c r="K71" s="7"/>
      <c r="U71" s="7"/>
      <c r="V71" s="7"/>
      <c r="W71" s="7"/>
      <c r="X71" s="7"/>
      <c r="Y71" s="7"/>
      <c r="Z71" s="7"/>
      <c r="AA71" s="7"/>
      <c r="AB71" s="7"/>
      <c r="AC71" s="7"/>
      <c r="AD71" s="7"/>
      <c r="AE71" s="7"/>
      <c r="AF71" s="7"/>
      <c r="AG71" s="7"/>
      <c r="AH71" s="7"/>
      <c r="AI71" s="7"/>
      <c r="AJ71" s="7"/>
      <c r="AK71" s="7"/>
      <c r="AL71" s="7"/>
      <c r="AM71" s="7"/>
      <c r="AN71" s="7"/>
    </row>
    <row r="72" spans="1:40">
      <c r="A72" s="7"/>
      <c r="B72" s="7"/>
      <c r="C72" s="7"/>
      <c r="D72" s="7"/>
      <c r="E72" s="7"/>
      <c r="F72" s="7"/>
      <c r="G72" s="7"/>
      <c r="H72" s="7"/>
      <c r="I72" s="7"/>
      <c r="J72" s="7"/>
      <c r="K72" s="7"/>
      <c r="U72" s="7"/>
      <c r="V72" s="7"/>
      <c r="W72" s="7"/>
      <c r="X72" s="7"/>
      <c r="Y72" s="7"/>
      <c r="Z72" s="7"/>
      <c r="AA72" s="7"/>
      <c r="AB72" s="7"/>
      <c r="AC72" s="7"/>
      <c r="AD72" s="7"/>
      <c r="AE72" s="7"/>
      <c r="AF72" s="7"/>
      <c r="AG72" s="7"/>
      <c r="AH72" s="7"/>
      <c r="AI72" s="7"/>
      <c r="AJ72" s="7"/>
      <c r="AK72" s="7"/>
      <c r="AL72" s="7"/>
      <c r="AM72" s="7"/>
      <c r="AN72" s="7"/>
    </row>
    <row r="73" spans="1:40">
      <c r="A73" s="7"/>
      <c r="B73" s="7"/>
      <c r="C73" s="7"/>
      <c r="D73" s="7"/>
      <c r="E73" s="7"/>
      <c r="F73" s="7"/>
      <c r="G73" s="7"/>
      <c r="H73" s="7"/>
      <c r="I73" s="7"/>
      <c r="J73" s="7"/>
      <c r="K73" s="7"/>
      <c r="U73" s="7"/>
      <c r="V73" s="7"/>
      <c r="W73" s="7"/>
      <c r="X73" s="7"/>
      <c r="Y73" s="7"/>
      <c r="Z73" s="7"/>
      <c r="AA73" s="7"/>
      <c r="AB73" s="7"/>
      <c r="AC73" s="7"/>
      <c r="AD73" s="7"/>
      <c r="AE73" s="7"/>
      <c r="AF73" s="7"/>
      <c r="AG73" s="7"/>
      <c r="AH73" s="7"/>
      <c r="AI73" s="7"/>
      <c r="AJ73" s="7"/>
      <c r="AK73" s="7"/>
      <c r="AL73" s="7"/>
      <c r="AM73" s="7"/>
      <c r="AN73" s="7"/>
    </row>
    <row r="74" spans="1:40">
      <c r="A74" s="7"/>
      <c r="B74" s="7"/>
      <c r="C74" s="7"/>
      <c r="D74" s="7"/>
      <c r="E74" s="7"/>
      <c r="F74" s="7"/>
      <c r="G74" s="7"/>
      <c r="H74" s="7"/>
      <c r="I74" s="7"/>
      <c r="J74" s="7"/>
      <c r="K74" s="7"/>
      <c r="U74" s="7"/>
      <c r="V74" s="7"/>
      <c r="W74" s="7"/>
      <c r="X74" s="7"/>
      <c r="Y74" s="7"/>
      <c r="Z74" s="7"/>
      <c r="AA74" s="7"/>
      <c r="AB74" s="7"/>
      <c r="AC74" s="7"/>
      <c r="AD74" s="7"/>
      <c r="AE74" s="7"/>
      <c r="AF74" s="7"/>
      <c r="AG74" s="7"/>
      <c r="AH74" s="7"/>
      <c r="AI74" s="7"/>
      <c r="AJ74" s="7"/>
      <c r="AK74" s="7"/>
      <c r="AL74" s="7"/>
      <c r="AM74" s="7"/>
      <c r="AN74" s="7"/>
    </row>
    <row r="75" spans="1:40">
      <c r="A75" s="7"/>
      <c r="B75" s="7"/>
      <c r="C75" s="7"/>
      <c r="D75" s="7"/>
      <c r="E75" s="7"/>
      <c r="F75" s="7"/>
      <c r="G75" s="7"/>
      <c r="H75" s="7"/>
      <c r="I75" s="7"/>
      <c r="J75" s="7"/>
      <c r="K75" s="7"/>
      <c r="U75" s="7"/>
      <c r="V75" s="7"/>
      <c r="W75" s="7"/>
      <c r="X75" s="7"/>
      <c r="Y75" s="7"/>
      <c r="Z75" s="7"/>
      <c r="AA75" s="7"/>
      <c r="AB75" s="7"/>
      <c r="AC75" s="7"/>
      <c r="AD75" s="7"/>
      <c r="AE75" s="7"/>
      <c r="AF75" s="7"/>
      <c r="AG75" s="7"/>
      <c r="AH75" s="7"/>
      <c r="AI75" s="7"/>
      <c r="AJ75" s="7"/>
      <c r="AK75" s="7"/>
      <c r="AL75" s="7"/>
      <c r="AM75" s="7"/>
      <c r="AN75" s="7"/>
    </row>
    <row r="76" spans="1:40">
      <c r="A76" s="7"/>
      <c r="B76" s="7"/>
      <c r="C76" s="7"/>
      <c r="D76" s="7"/>
      <c r="E76" s="7"/>
      <c r="F76" s="7"/>
      <c r="G76" s="7"/>
      <c r="H76" s="7"/>
      <c r="I76" s="7"/>
      <c r="J76" s="7"/>
      <c r="K76" s="7"/>
      <c r="U76" s="7"/>
      <c r="V76" s="7"/>
      <c r="W76" s="7"/>
      <c r="X76" s="7"/>
      <c r="Y76" s="7"/>
      <c r="Z76" s="7"/>
      <c r="AA76" s="7"/>
      <c r="AB76" s="7"/>
      <c r="AC76" s="7"/>
      <c r="AD76" s="7"/>
      <c r="AE76" s="7"/>
      <c r="AF76" s="7"/>
      <c r="AG76" s="7"/>
      <c r="AH76" s="7"/>
      <c r="AI76" s="7"/>
      <c r="AJ76" s="7"/>
      <c r="AK76" s="7"/>
      <c r="AL76" s="7"/>
      <c r="AM76" s="7"/>
      <c r="AN76" s="7"/>
    </row>
    <row r="77" spans="1:40">
      <c r="A77" s="7"/>
      <c r="B77" s="7"/>
      <c r="C77" s="7"/>
      <c r="D77" s="7"/>
      <c r="E77" s="7"/>
      <c r="F77" s="7"/>
      <c r="G77" s="7"/>
      <c r="H77" s="7"/>
      <c r="I77" s="7"/>
      <c r="J77" s="7"/>
      <c r="K77" s="7"/>
      <c r="U77" s="7"/>
      <c r="V77" s="7"/>
      <c r="W77" s="7"/>
      <c r="X77" s="7"/>
      <c r="Y77" s="7"/>
      <c r="Z77" s="7"/>
      <c r="AA77" s="7"/>
      <c r="AB77" s="7"/>
      <c r="AC77" s="7"/>
      <c r="AD77" s="7"/>
      <c r="AE77" s="7"/>
      <c r="AF77" s="7"/>
      <c r="AG77" s="7"/>
      <c r="AH77" s="7"/>
      <c r="AI77" s="7"/>
      <c r="AJ77" s="7"/>
      <c r="AK77" s="7"/>
      <c r="AL77" s="7"/>
      <c r="AM77" s="7"/>
      <c r="AN77" s="7"/>
    </row>
    <row r="78" spans="1:40" ht="15.75" customHeight="1">
      <c r="A78" s="7"/>
      <c r="B78" s="7"/>
      <c r="C78" s="7"/>
      <c r="D78" s="7"/>
      <c r="E78" s="7"/>
      <c r="F78" s="7"/>
      <c r="G78" s="7"/>
      <c r="H78" s="7"/>
      <c r="I78" s="7"/>
      <c r="J78" s="7"/>
      <c r="K78" s="7"/>
      <c r="U78" s="7"/>
      <c r="V78" s="7"/>
      <c r="W78" s="7"/>
      <c r="X78" s="7"/>
      <c r="Y78" s="7"/>
      <c r="Z78" s="7"/>
      <c r="AA78" s="7"/>
      <c r="AB78" s="7"/>
      <c r="AC78" s="7"/>
      <c r="AD78" s="7"/>
      <c r="AE78" s="7"/>
      <c r="AF78" s="7"/>
      <c r="AG78" s="7"/>
      <c r="AH78" s="7"/>
      <c r="AI78" s="7"/>
      <c r="AJ78" s="7"/>
      <c r="AK78" s="7"/>
      <c r="AL78" s="7"/>
      <c r="AM78" s="7"/>
      <c r="AN78" s="7"/>
    </row>
    <row r="79" spans="1:40">
      <c r="A79" s="7"/>
      <c r="B79" s="7"/>
      <c r="C79" s="7"/>
      <c r="D79" s="7"/>
      <c r="E79" s="7"/>
      <c r="F79" s="7"/>
      <c r="G79" s="7"/>
      <c r="H79" s="7"/>
      <c r="I79" s="7"/>
      <c r="J79" s="7"/>
      <c r="K79" s="7"/>
      <c r="U79" s="7"/>
      <c r="V79" s="7"/>
      <c r="W79" s="7"/>
      <c r="X79" s="7"/>
      <c r="Y79" s="7"/>
      <c r="Z79" s="7"/>
      <c r="AA79" s="7"/>
      <c r="AB79" s="7"/>
      <c r="AC79" s="7"/>
      <c r="AD79" s="7"/>
      <c r="AE79" s="7"/>
      <c r="AF79" s="7"/>
      <c r="AG79" s="7"/>
      <c r="AH79" s="7"/>
      <c r="AI79" s="7"/>
      <c r="AJ79" s="7"/>
      <c r="AK79" s="7"/>
      <c r="AL79" s="7"/>
      <c r="AM79" s="7"/>
      <c r="AN79" s="7"/>
    </row>
    <row r="80" spans="1:40">
      <c r="A80" s="7"/>
      <c r="B80" s="7"/>
      <c r="C80" s="7"/>
      <c r="D80" s="7"/>
      <c r="E80" s="7"/>
      <c r="F80" s="7"/>
      <c r="G80" s="7"/>
      <c r="H80" s="7"/>
      <c r="I80" s="7"/>
      <c r="J80" s="7"/>
      <c r="K80" s="7"/>
      <c r="U80" s="7"/>
      <c r="V80" s="7"/>
      <c r="W80" s="7"/>
      <c r="X80" s="7"/>
      <c r="Y80" s="7"/>
      <c r="Z80" s="7"/>
      <c r="AA80" s="7"/>
      <c r="AB80" s="7"/>
      <c r="AC80" s="7"/>
      <c r="AD80" s="7"/>
      <c r="AE80" s="7"/>
      <c r="AF80" s="7"/>
      <c r="AG80" s="7"/>
      <c r="AH80" s="7"/>
      <c r="AI80" s="7"/>
      <c r="AJ80" s="7"/>
      <c r="AK80" s="7"/>
      <c r="AL80" s="7"/>
      <c r="AM80" s="7"/>
      <c r="AN80" s="7"/>
    </row>
    <row r="81" spans="1:40">
      <c r="A81" s="7"/>
      <c r="B81" s="7"/>
      <c r="C81" s="7"/>
      <c r="D81" s="7"/>
      <c r="E81" s="7"/>
      <c r="F81" s="7"/>
      <c r="G81" s="7"/>
      <c r="H81" s="7"/>
      <c r="I81" s="7"/>
      <c r="J81" s="7"/>
      <c r="K81" s="7"/>
      <c r="U81" s="7"/>
      <c r="V81" s="7"/>
      <c r="W81" s="7"/>
      <c r="X81" s="7"/>
      <c r="Y81" s="7"/>
      <c r="Z81" s="7"/>
      <c r="AA81" s="7"/>
      <c r="AB81" s="7"/>
      <c r="AC81" s="7"/>
      <c r="AD81" s="7"/>
      <c r="AE81" s="7"/>
      <c r="AF81" s="7"/>
      <c r="AG81" s="7"/>
      <c r="AH81" s="7"/>
      <c r="AI81" s="7"/>
      <c r="AJ81" s="7"/>
      <c r="AK81" s="7"/>
      <c r="AL81" s="7"/>
      <c r="AM81" s="7"/>
      <c r="AN81" s="7"/>
    </row>
    <row r="82" spans="1:40">
      <c r="A82" s="7"/>
      <c r="B82" s="7"/>
      <c r="C82" s="7"/>
      <c r="D82" s="7"/>
      <c r="E82" s="7"/>
      <c r="F82" s="7"/>
      <c r="G82" s="7"/>
      <c r="H82" s="7"/>
      <c r="I82" s="7"/>
      <c r="J82" s="7"/>
      <c r="K82" s="7"/>
      <c r="U82" s="7"/>
      <c r="V82" s="7"/>
      <c r="W82" s="7"/>
      <c r="X82" s="7"/>
      <c r="Y82" s="7"/>
      <c r="Z82" s="7"/>
      <c r="AA82" s="7"/>
      <c r="AB82" s="7"/>
      <c r="AC82" s="7"/>
      <c r="AD82" s="7"/>
      <c r="AE82" s="7"/>
      <c r="AF82" s="7"/>
      <c r="AG82" s="7"/>
      <c r="AH82" s="7"/>
      <c r="AI82" s="7"/>
      <c r="AJ82" s="7"/>
      <c r="AK82" s="7"/>
      <c r="AL82" s="7"/>
      <c r="AM82" s="7"/>
      <c r="AN82" s="7"/>
    </row>
    <row r="83" spans="1:40">
      <c r="A83" s="7"/>
      <c r="B83" s="7"/>
      <c r="C83" s="7"/>
      <c r="D83" s="7"/>
      <c r="E83" s="7"/>
      <c r="F83" s="7"/>
      <c r="G83" s="7"/>
      <c r="H83" s="7"/>
      <c r="I83" s="7"/>
      <c r="J83" s="7"/>
      <c r="K83" s="7"/>
      <c r="U83" s="7"/>
      <c r="V83" s="7"/>
      <c r="W83" s="7"/>
      <c r="X83" s="7"/>
      <c r="Y83" s="7"/>
      <c r="Z83" s="7"/>
      <c r="AA83" s="7"/>
      <c r="AB83" s="7"/>
      <c r="AC83" s="7"/>
      <c r="AD83" s="7"/>
      <c r="AE83" s="7"/>
      <c r="AF83" s="7"/>
      <c r="AG83" s="7"/>
      <c r="AH83" s="7"/>
      <c r="AI83" s="7"/>
      <c r="AJ83" s="7"/>
      <c r="AK83" s="7"/>
      <c r="AL83" s="7"/>
      <c r="AM83" s="7"/>
      <c r="AN83" s="7"/>
    </row>
    <row r="84" spans="1:40">
      <c r="A84" s="7"/>
      <c r="B84" s="7"/>
      <c r="C84" s="7"/>
      <c r="D84" s="7"/>
      <c r="E84" s="7"/>
      <c r="F84" s="7"/>
      <c r="G84" s="7"/>
      <c r="H84" s="7"/>
      <c r="I84" s="7"/>
      <c r="J84" s="7"/>
      <c r="K84" s="7"/>
      <c r="U84" s="7"/>
      <c r="V84" s="7"/>
      <c r="W84" s="7"/>
      <c r="X84" s="7"/>
      <c r="Y84" s="7"/>
      <c r="Z84" s="7"/>
      <c r="AA84" s="7"/>
      <c r="AB84" s="7"/>
      <c r="AC84" s="7"/>
      <c r="AD84" s="7"/>
      <c r="AE84" s="7"/>
      <c r="AF84" s="7"/>
      <c r="AG84" s="7"/>
      <c r="AH84" s="7"/>
      <c r="AI84" s="7"/>
      <c r="AJ84" s="7"/>
      <c r="AK84" s="7"/>
      <c r="AL84" s="7"/>
      <c r="AM84" s="7"/>
      <c r="AN84" s="7"/>
    </row>
    <row r="85" spans="1:40">
      <c r="A85" s="7"/>
      <c r="B85" s="7"/>
      <c r="C85" s="7"/>
      <c r="D85" s="7"/>
      <c r="E85" s="7"/>
      <c r="F85" s="7"/>
      <c r="G85" s="7"/>
      <c r="H85" s="7"/>
      <c r="I85" s="7"/>
      <c r="J85" s="7"/>
      <c r="K85" s="7"/>
      <c r="U85" s="7"/>
      <c r="V85" s="7"/>
      <c r="W85" s="7"/>
      <c r="X85" s="7"/>
      <c r="Y85" s="7"/>
      <c r="Z85" s="7"/>
      <c r="AA85" s="7"/>
      <c r="AB85" s="7"/>
      <c r="AC85" s="7"/>
      <c r="AD85" s="7"/>
      <c r="AE85" s="7"/>
      <c r="AF85" s="7"/>
      <c r="AG85" s="7"/>
      <c r="AH85" s="7"/>
      <c r="AI85" s="7"/>
      <c r="AJ85" s="7"/>
      <c r="AK85" s="7"/>
      <c r="AL85" s="7"/>
      <c r="AM85" s="7"/>
      <c r="AN85" s="7"/>
    </row>
    <row r="86" spans="1:40">
      <c r="A86" s="7"/>
      <c r="B86" s="7"/>
      <c r="C86" s="7"/>
      <c r="D86" s="7"/>
      <c r="E86" s="7"/>
      <c r="F86" s="7"/>
      <c r="G86" s="7"/>
      <c r="H86" s="7"/>
      <c r="I86" s="7"/>
      <c r="J86" s="7"/>
      <c r="K86" s="7"/>
      <c r="U86" s="7"/>
      <c r="V86" s="7"/>
      <c r="W86" s="7"/>
      <c r="X86" s="7"/>
      <c r="Y86" s="7"/>
      <c r="Z86" s="7"/>
      <c r="AA86" s="7"/>
      <c r="AB86" s="7"/>
      <c r="AC86" s="7"/>
      <c r="AD86" s="7"/>
      <c r="AE86" s="7"/>
      <c r="AF86" s="7"/>
      <c r="AG86" s="7"/>
      <c r="AH86" s="7"/>
      <c r="AI86" s="7"/>
      <c r="AJ86" s="7"/>
      <c r="AK86" s="7"/>
      <c r="AL86" s="7"/>
      <c r="AM86" s="7"/>
      <c r="AN86" s="7"/>
    </row>
    <row r="87" spans="1:40">
      <c r="A87" s="7"/>
      <c r="B87" s="7"/>
      <c r="C87" s="7"/>
      <c r="D87" s="7"/>
      <c r="E87" s="7"/>
      <c r="F87" s="7"/>
      <c r="G87" s="7"/>
      <c r="H87" s="7"/>
      <c r="I87" s="7"/>
      <c r="J87" s="7"/>
      <c r="K87" s="7"/>
      <c r="U87" s="7"/>
      <c r="V87" s="7"/>
      <c r="W87" s="7"/>
      <c r="X87" s="7"/>
      <c r="Y87" s="7"/>
      <c r="Z87" s="7"/>
      <c r="AA87" s="7"/>
      <c r="AB87" s="7"/>
      <c r="AC87" s="7"/>
      <c r="AD87" s="7"/>
      <c r="AE87" s="7"/>
      <c r="AF87" s="7"/>
      <c r="AG87" s="7"/>
      <c r="AH87" s="7"/>
      <c r="AI87" s="7"/>
      <c r="AJ87" s="7"/>
      <c r="AK87" s="7"/>
      <c r="AL87" s="7"/>
      <c r="AM87" s="7"/>
      <c r="AN87" s="7"/>
    </row>
    <row r="88" spans="1:40">
      <c r="A88" s="7"/>
      <c r="B88" s="7"/>
      <c r="C88" s="7"/>
      <c r="D88" s="7"/>
      <c r="E88" s="7"/>
      <c r="F88" s="7"/>
      <c r="G88" s="7"/>
      <c r="H88" s="7"/>
      <c r="I88" s="7"/>
      <c r="J88" s="7"/>
      <c r="K88" s="7"/>
      <c r="U88" s="7"/>
      <c r="V88" s="7"/>
      <c r="W88" s="7"/>
      <c r="X88" s="7"/>
      <c r="Y88" s="7"/>
      <c r="Z88" s="7"/>
      <c r="AA88" s="7"/>
      <c r="AB88" s="7"/>
      <c r="AC88" s="7"/>
      <c r="AD88" s="7"/>
      <c r="AE88" s="7"/>
      <c r="AF88" s="7"/>
      <c r="AG88" s="7"/>
      <c r="AH88" s="7"/>
      <c r="AI88" s="7"/>
      <c r="AJ88" s="7"/>
      <c r="AK88" s="7"/>
      <c r="AL88" s="7"/>
      <c r="AM88" s="7"/>
      <c r="AN88" s="7"/>
    </row>
    <row r="89" spans="1:40">
      <c r="A89" s="7"/>
      <c r="B89" s="7"/>
      <c r="C89" s="7"/>
      <c r="D89" s="7"/>
      <c r="E89" s="7"/>
      <c r="F89" s="7"/>
      <c r="G89" s="7"/>
      <c r="H89" s="7"/>
      <c r="I89" s="7"/>
      <c r="J89" s="7"/>
      <c r="K89" s="7"/>
      <c r="U89" s="7"/>
      <c r="V89" s="7"/>
      <c r="W89" s="7"/>
      <c r="X89" s="7"/>
      <c r="Y89" s="7"/>
      <c r="Z89" s="7"/>
      <c r="AA89" s="7"/>
      <c r="AB89" s="7"/>
      <c r="AC89" s="7"/>
      <c r="AD89" s="7"/>
      <c r="AE89" s="7"/>
      <c r="AF89" s="7"/>
      <c r="AG89" s="7"/>
      <c r="AH89" s="7"/>
      <c r="AI89" s="7"/>
      <c r="AJ89" s="7"/>
      <c r="AK89" s="7"/>
      <c r="AL89" s="7"/>
      <c r="AM89" s="7"/>
      <c r="AN89" s="7"/>
    </row>
    <row r="90" spans="1:40">
      <c r="A90" s="7"/>
      <c r="B90" s="7"/>
      <c r="C90" s="7"/>
      <c r="D90" s="7"/>
      <c r="E90" s="7"/>
      <c r="F90" s="7"/>
      <c r="G90" s="7"/>
      <c r="H90" s="7"/>
      <c r="I90" s="7"/>
      <c r="J90" s="7"/>
      <c r="K90" s="7"/>
      <c r="U90" s="7"/>
      <c r="V90" s="7"/>
      <c r="W90" s="7"/>
      <c r="X90" s="7"/>
      <c r="Y90" s="7"/>
      <c r="Z90" s="7"/>
      <c r="AA90" s="7"/>
      <c r="AB90" s="7"/>
      <c r="AC90" s="7"/>
      <c r="AD90" s="7"/>
      <c r="AE90" s="7"/>
      <c r="AF90" s="7"/>
      <c r="AG90" s="7"/>
      <c r="AH90" s="7"/>
      <c r="AI90" s="7"/>
      <c r="AJ90" s="7"/>
      <c r="AK90" s="7"/>
      <c r="AL90" s="7"/>
      <c r="AM90" s="7"/>
      <c r="AN90" s="7"/>
    </row>
    <row r="91" spans="1:40">
      <c r="A91" s="7"/>
      <c r="B91" s="7"/>
      <c r="C91" s="7"/>
      <c r="D91" s="7"/>
      <c r="E91" s="7"/>
      <c r="F91" s="7"/>
      <c r="G91" s="7"/>
      <c r="H91" s="7"/>
      <c r="I91" s="7"/>
      <c r="J91" s="7"/>
      <c r="K91" s="7"/>
      <c r="U91" s="7"/>
      <c r="V91" s="7"/>
      <c r="W91" s="7"/>
      <c r="X91" s="7"/>
      <c r="Y91" s="7"/>
      <c r="Z91" s="7"/>
      <c r="AA91" s="7"/>
      <c r="AB91" s="7"/>
      <c r="AC91" s="7"/>
      <c r="AD91" s="7"/>
      <c r="AE91" s="7"/>
      <c r="AF91" s="7"/>
      <c r="AG91" s="7"/>
      <c r="AH91" s="7"/>
      <c r="AI91" s="7"/>
      <c r="AJ91" s="7"/>
      <c r="AK91" s="7"/>
      <c r="AL91" s="7"/>
      <c r="AM91" s="7"/>
      <c r="AN91" s="7"/>
    </row>
    <row r="92" spans="1:40">
      <c r="A92" s="7"/>
      <c r="B92" s="7"/>
      <c r="C92" s="7"/>
      <c r="D92" s="7"/>
      <c r="E92" s="7"/>
      <c r="F92" s="7"/>
      <c r="G92" s="7"/>
      <c r="H92" s="7"/>
      <c r="I92" s="7"/>
      <c r="J92" s="7"/>
      <c r="K92" s="7"/>
      <c r="U92" s="7"/>
      <c r="V92" s="7"/>
      <c r="W92" s="7"/>
      <c r="X92" s="7"/>
      <c r="Y92" s="7"/>
      <c r="Z92" s="7"/>
      <c r="AA92" s="7"/>
      <c r="AB92" s="7"/>
      <c r="AC92" s="7"/>
      <c r="AD92" s="7"/>
      <c r="AE92" s="7"/>
      <c r="AF92" s="7"/>
      <c r="AG92" s="7"/>
      <c r="AH92" s="7"/>
      <c r="AI92" s="7"/>
      <c r="AJ92" s="7"/>
      <c r="AK92" s="7"/>
      <c r="AL92" s="7"/>
      <c r="AM92" s="7"/>
      <c r="AN92" s="7"/>
    </row>
    <row r="93" spans="1:40">
      <c r="A93" s="7"/>
      <c r="B93" s="7"/>
      <c r="C93" s="7"/>
      <c r="D93" s="7"/>
      <c r="E93" s="7"/>
      <c r="F93" s="7"/>
      <c r="G93" s="7"/>
      <c r="H93" s="7"/>
      <c r="I93" s="7"/>
      <c r="J93" s="7"/>
      <c r="K93" s="7"/>
      <c r="U93" s="7"/>
      <c r="V93" s="7"/>
      <c r="W93" s="7"/>
      <c r="X93" s="7"/>
      <c r="Y93" s="7"/>
      <c r="Z93" s="7"/>
      <c r="AA93" s="7"/>
      <c r="AB93" s="7"/>
      <c r="AC93" s="7"/>
      <c r="AD93" s="7"/>
      <c r="AE93" s="7"/>
      <c r="AF93" s="7"/>
      <c r="AG93" s="7"/>
      <c r="AH93" s="7"/>
      <c r="AI93" s="7"/>
      <c r="AJ93" s="7"/>
      <c r="AK93" s="7"/>
      <c r="AL93" s="7"/>
      <c r="AM93" s="7"/>
      <c r="AN93" s="7"/>
    </row>
    <row r="94" spans="1:40">
      <c r="A94" s="7"/>
      <c r="B94" s="7"/>
      <c r="C94" s="7"/>
      <c r="D94" s="7"/>
      <c r="E94" s="7"/>
      <c r="F94" s="7"/>
      <c r="G94" s="7"/>
      <c r="H94" s="7"/>
      <c r="I94" s="7"/>
      <c r="J94" s="7"/>
      <c r="K94" s="7"/>
      <c r="U94" s="7"/>
      <c r="V94" s="7"/>
      <c r="W94" s="7"/>
      <c r="X94" s="7"/>
      <c r="Y94" s="7"/>
      <c r="Z94" s="7"/>
      <c r="AA94" s="7"/>
      <c r="AB94" s="7"/>
      <c r="AC94" s="7"/>
      <c r="AD94" s="7"/>
      <c r="AE94" s="7"/>
      <c r="AF94" s="7"/>
      <c r="AG94" s="7"/>
      <c r="AH94" s="7"/>
      <c r="AI94" s="7"/>
      <c r="AJ94" s="7"/>
      <c r="AK94" s="7"/>
      <c r="AL94" s="7"/>
      <c r="AM94" s="7"/>
      <c r="AN94" s="7"/>
    </row>
    <row r="95" spans="1:40">
      <c r="A95" s="7"/>
      <c r="B95" s="7"/>
      <c r="C95" s="7"/>
      <c r="D95" s="7"/>
      <c r="E95" s="7"/>
      <c r="F95" s="7"/>
      <c r="G95" s="7"/>
      <c r="H95" s="7"/>
      <c r="I95" s="7"/>
      <c r="J95" s="7"/>
      <c r="K95" s="7"/>
      <c r="U95" s="7"/>
      <c r="V95" s="7"/>
      <c r="W95" s="7"/>
      <c r="X95" s="7"/>
      <c r="Y95" s="7"/>
      <c r="Z95" s="7"/>
      <c r="AA95" s="7"/>
      <c r="AB95" s="7"/>
      <c r="AC95" s="7"/>
      <c r="AD95" s="7"/>
      <c r="AE95" s="7"/>
      <c r="AF95" s="7"/>
      <c r="AG95" s="7"/>
      <c r="AH95" s="7"/>
      <c r="AI95" s="7"/>
      <c r="AJ95" s="7"/>
      <c r="AK95" s="7"/>
      <c r="AL95" s="7"/>
      <c r="AM95" s="7"/>
      <c r="AN95" s="7"/>
    </row>
    <row r="96" spans="1:40">
      <c r="A96" s="7"/>
      <c r="B96" s="7"/>
      <c r="C96" s="7"/>
      <c r="D96" s="7"/>
      <c r="E96" s="7"/>
      <c r="F96" s="7"/>
      <c r="G96" s="7"/>
      <c r="H96" s="7"/>
      <c r="I96" s="7"/>
      <c r="K96" s="7"/>
      <c r="U96" s="7"/>
      <c r="V96" s="7"/>
      <c r="W96" s="7"/>
      <c r="X96" s="7"/>
      <c r="Y96" s="7"/>
      <c r="Z96" s="7"/>
      <c r="AA96" s="7"/>
      <c r="AB96" s="7"/>
      <c r="AC96" s="7"/>
      <c r="AD96" s="7"/>
      <c r="AE96" s="7"/>
      <c r="AF96" s="7"/>
      <c r="AG96" s="7"/>
      <c r="AH96" s="7"/>
      <c r="AI96" s="7"/>
      <c r="AJ96" s="7"/>
      <c r="AK96" s="7"/>
      <c r="AL96" s="7"/>
      <c r="AM96" s="7"/>
      <c r="AN96" s="7"/>
    </row>
    <row r="97" spans="21:40">
      <c r="U97" s="7"/>
      <c r="V97" s="7"/>
      <c r="W97" s="7"/>
      <c r="X97" s="7"/>
      <c r="Y97" s="7"/>
      <c r="Z97" s="7"/>
      <c r="AA97" s="7"/>
      <c r="AB97" s="7"/>
      <c r="AC97" s="7"/>
      <c r="AD97" s="7"/>
      <c r="AE97" s="7"/>
      <c r="AF97" s="7"/>
      <c r="AG97" s="7"/>
      <c r="AH97" s="7"/>
      <c r="AI97" s="7"/>
      <c r="AJ97" s="7"/>
      <c r="AK97" s="7"/>
      <c r="AL97" s="7"/>
      <c r="AM97" s="7"/>
      <c r="AN97" s="7"/>
    </row>
    <row r="98" spans="21:40">
      <c r="U98" s="7"/>
      <c r="AA98" s="7"/>
      <c r="AB98" s="7"/>
      <c r="AC98" s="7"/>
      <c r="AD98" s="7"/>
      <c r="AE98" s="7"/>
      <c r="AF98" s="7"/>
      <c r="AG98" s="7"/>
      <c r="AH98" s="7"/>
      <c r="AI98" s="7"/>
      <c r="AJ98" s="7"/>
      <c r="AK98" s="7"/>
      <c r="AL98" s="7"/>
      <c r="AM98" s="7"/>
      <c r="AN98" s="7"/>
    </row>
  </sheetData>
  <sheetProtection algorithmName="SHA-512" hashValue="pOu4RXkHRVCsHKdP0UnxLCIFXh8+wyhttutAlKEii/SBxaW9G6JRRYHvfFs9nFCJ9Relq/BzHbAhljGh7qI4YA==" saltValue="Myo4eXAgKyqcU+qb1tSk2g==" spinCount="100000" sheet="1" objects="1" scenarios="1" selectLockedCells="1"/>
  <mergeCells count="36">
    <mergeCell ref="D17:E17"/>
    <mergeCell ref="H6:I6"/>
    <mergeCell ref="L8:S8"/>
    <mergeCell ref="D9:H9"/>
    <mergeCell ref="D11:H11"/>
    <mergeCell ref="D16:E16"/>
    <mergeCell ref="F30:G30"/>
    <mergeCell ref="D18:E18"/>
    <mergeCell ref="D19:E19"/>
    <mergeCell ref="D20:E20"/>
    <mergeCell ref="D21:E21"/>
    <mergeCell ref="D22:E22"/>
    <mergeCell ref="D23:E23"/>
    <mergeCell ref="D24:E24"/>
    <mergeCell ref="D25:E25"/>
    <mergeCell ref="D26:E26"/>
    <mergeCell ref="D27:E27"/>
    <mergeCell ref="D30:E30"/>
    <mergeCell ref="D31:E31"/>
    <mergeCell ref="F31:G31"/>
    <mergeCell ref="D32:E32"/>
    <mergeCell ref="F32:G32"/>
    <mergeCell ref="D35:E35"/>
    <mergeCell ref="F35:G35"/>
    <mergeCell ref="D47:E47"/>
    <mergeCell ref="D36:E36"/>
    <mergeCell ref="F36:G36"/>
    <mergeCell ref="D37:E37"/>
    <mergeCell ref="F37:G37"/>
    <mergeCell ref="D39:E39"/>
    <mergeCell ref="F39:G39"/>
    <mergeCell ref="D40:E40"/>
    <mergeCell ref="F40:G40"/>
    <mergeCell ref="D41:E41"/>
    <mergeCell ref="F41:G41"/>
    <mergeCell ref="D46:E46"/>
  </mergeCells>
  <conditionalFormatting sqref="D28:E28 E29">
    <cfRule type="expression" dxfId="69" priority="14">
      <formula>D$28=DeklGewichtOK</formula>
    </cfRule>
  </conditionalFormatting>
  <conditionalFormatting sqref="G13:I13">
    <cfRule type="expression" dxfId="68" priority="13">
      <formula>AnzAusblenden=TRUE</formula>
    </cfRule>
  </conditionalFormatting>
  <conditionalFormatting sqref="H38 H42:H48">
    <cfRule type="expression" dxfId="67" priority="12">
      <formula>AND(H38&lt;=1.01,H38&gt;=0.99)</formula>
    </cfRule>
  </conditionalFormatting>
  <conditionalFormatting sqref="D38:E38">
    <cfRule type="expression" dxfId="66" priority="11">
      <formula>D$38=DeklAnteilNotOK</formula>
    </cfRule>
  </conditionalFormatting>
  <conditionalFormatting sqref="I52:I55">
    <cfRule type="dataBar" priority="15">
      <dataBar>
        <cfvo type="min"/>
        <cfvo type="max"/>
        <color rgb="FF63C384"/>
      </dataBar>
      <extLst>
        <ext xmlns:x14="http://schemas.microsoft.com/office/spreadsheetml/2009/9/main" uri="{B025F937-C7B1-47D3-B67F-A62EFF666E3E}">
          <x14:id>{B57268F2-6C2F-47AB-ADD9-F5B2F4A76B02}</x14:id>
        </ext>
      </extLst>
    </cfRule>
  </conditionalFormatting>
  <conditionalFormatting sqref="I56">
    <cfRule type="dataBar" priority="16">
      <dataBar>
        <cfvo type="min"/>
        <cfvo type="max"/>
        <color rgb="FF63C384"/>
      </dataBar>
      <extLst>
        <ext xmlns:x14="http://schemas.microsoft.com/office/spreadsheetml/2009/9/main" uri="{B025F937-C7B1-47D3-B67F-A62EFF666E3E}">
          <x14:id>{B26402E2-24DD-4048-8B85-4A5510E6FA6B}</x14:id>
        </ext>
      </extLst>
    </cfRule>
  </conditionalFormatting>
  <conditionalFormatting sqref="D42">
    <cfRule type="expression" dxfId="65" priority="10">
      <formula>D$42=DeklAnteilNotOK</formula>
    </cfRule>
  </conditionalFormatting>
  <conditionalFormatting sqref="D46 D48">
    <cfRule type="expression" dxfId="64" priority="9">
      <formula>D$46=DeklMatEffNotOK</formula>
    </cfRule>
  </conditionalFormatting>
  <conditionalFormatting sqref="F48:G48 F46">
    <cfRule type="expression" dxfId="63" priority="8">
      <formula>F$46=DeklEnEinsatzNotOK</formula>
    </cfRule>
  </conditionalFormatting>
  <conditionalFormatting sqref="D35:H37">
    <cfRule type="expression" dxfId="62" priority="17">
      <formula>$T$38=TRUE</formula>
    </cfRule>
  </conditionalFormatting>
  <conditionalFormatting sqref="D39:H41">
    <cfRule type="expression" dxfId="61" priority="18">
      <formula>$T$42=TRUE</formula>
    </cfRule>
  </conditionalFormatting>
  <conditionalFormatting sqref="D45 F45:G45">
    <cfRule type="expression" dxfId="60" priority="19">
      <formula>$T$45=TRUE</formula>
    </cfRule>
  </conditionalFormatting>
  <conditionalFormatting sqref="D30:H32">
    <cfRule type="expression" dxfId="59" priority="20">
      <formula>$T$33=TRUE</formula>
    </cfRule>
  </conditionalFormatting>
  <conditionalFormatting sqref="F47:G47">
    <cfRule type="expression" dxfId="58" priority="5">
      <formula>F$46=DeklEnEinsatzNotOK</formula>
    </cfRule>
  </conditionalFormatting>
  <conditionalFormatting sqref="G46">
    <cfRule type="expression" dxfId="57" priority="3">
      <formula>G$46=DeklEnEinsatzNotOK</formula>
    </cfRule>
  </conditionalFormatting>
  <conditionalFormatting sqref="D47">
    <cfRule type="expression" dxfId="56" priority="2">
      <formula>D$46=DeklMatEffNotOK</formula>
    </cfRule>
  </conditionalFormatting>
  <conditionalFormatting sqref="D47">
    <cfRule type="expression" dxfId="55" priority="1">
      <formula>D$46=DeklEnEinsatzNotOK</formula>
    </cfRule>
  </conditionalFormatting>
  <dataValidations count="21">
    <dataValidation type="decimal" allowBlank="1" showInputMessage="1" showErrorMessage="1" errorTitle="Fehler" error="Sie müssen Werte zwischen 0 und 999 kWh/kg eingeben." promptTitle="Energie Wärme" prompt="Geben Sie hier den Wert für die verbrauchte Wärmeenergie in kWh pro produziertes kg dieses Produkts ein (Werte für die gesamte Produktepalette im Blatt Start erfassen). Wenn Sie das Feld leer lassen, wird automatisch ein Defaultwert verwendet." sqref="G45" xr:uid="{C9E80D0B-9938-47BA-8970-1C758CD0CD20}">
      <formula1>0</formula1>
      <formula2>999</formula2>
    </dataValidation>
    <dataValidation type="decimal" allowBlank="1" showInputMessage="1" showErrorMessage="1" errorTitle="Fehler" error="Sie müssen Werte zwischen 0 und 999 kWh/kg eingeben." promptTitle="Energie Strom" prompt="Geben Sie hier den Wert für den verbrauchten Strom in kWh pro produziertes kg dieses Produkts ein (Werte für die gesamte Produktepalette im Blatt Start erfassen). Wenn Sie das Feld leer lassen, wird automatisch ein Defaultwert verwendet." sqref="F45" xr:uid="{7DA3D44C-1436-4724-BEAE-BA9DA54C7C29}">
      <formula1>0</formula1>
      <formula2>999</formula2>
    </dataValidation>
    <dataValidation type="decimal" allowBlank="1" showInputMessage="1" showErrorMessage="1" promptTitle="Materialeffizienz" prompt="Geben Sie hier ein, in welchem Verhältnis Materialinput zu Produktionsoutput stehen (übliche Werte liegen zwischen 70 und 90%). Wenn Sie das Feld leer lassen, werden automatisch Defaultwerte verwendet." sqref="D45" xr:uid="{78C1F874-39D3-47C5-A9F4-D46184E4E677}">
      <formula1>0</formula1>
      <formula2>1</formula2>
    </dataValidation>
    <dataValidation type="whole" allowBlank="1" showInputMessage="1" showErrorMessage="1" errorTitle="Fehler" error="Sie müssen ganzzahlige Werte zwischen 0 und 99999 eingeben." promptTitle="Transportdistanz" prompt="Geben Sie die Distanz zwischen Produktionsort und Ort des Kunden in km ein. Falls verschiedene Transportmittel verwendet werden, erfassen Sie diese separat." sqref="H30:H32" xr:uid="{6DDFF958-154D-4367-A96C-B1F657D617F1}">
      <formula1>0</formula1>
      <formula2>99999</formula2>
    </dataValidation>
    <dataValidation type="list" allowBlank="1" showInputMessage="1" showErrorMessage="1" promptTitle="Transportmittel" prompt="Wählen Sie ein Transportmittel aus der Liste." sqref="F30:G32" xr:uid="{50551C0C-F4B0-4D61-AD09-B5AECFB17425}">
      <formula1>Transporte</formula1>
    </dataValidation>
    <dataValidation allowBlank="1" showInputMessage="1" showErrorMessage="1" promptTitle="Bezeichnung" prompt="Bitte geben Sie an, um welche Transportleistung es sich handelt (z.B. Fabrik Genf - Zürich, LKW)" sqref="D30:D32" xr:uid="{3FC19253-5CFF-4D64-B5B0-1CBA39E3660A}"/>
    <dataValidation allowBlank="1" showInputMessage="1" showErrorMessage="1" promptTitle="Bezeichnung" prompt="Geben Sie hier eine eindeutige Produktbezeichnung ein. Fassen Sie ähnliche Produkte möglichst zusammen." sqref="D9:H9" xr:uid="{D199D5AC-7748-4582-8271-99A4E5DC6771}"/>
    <dataValidation allowBlank="1" showInputMessage="1" showErrorMessage="1" promptTitle="Bemerkungen" prompt="Verwenden Sie dieses Feld für Ihre Bemerkungen." sqref="D11:H11" xr:uid="{B7699626-D94D-4CDC-A878-B27E89A84243}"/>
    <dataValidation type="whole" allowBlank="1" showInputMessage="1" showErrorMessage="1" errorTitle="Fehler" error="Es sind nur ganzzahlige Werte zwischen 0 und 99999 zulässig." promptTitle="Anzahl" prompt="Geben Sie hier die angebotene Gesamtanzahl des Produkts ein." sqref="H13" xr:uid="{9178E51F-06DF-4C42-9BAF-4C7862DC2FAB}">
      <formula1>0</formula1>
      <formula2>99999</formula2>
    </dataValidation>
    <dataValidation type="decimal" allowBlank="1" showInputMessage="1" showErrorMessage="1" errorTitle="Fehler" error="Es sind nur Werte zwischen 0 und 99999 zulässig." promptTitle="Nettogewicht" prompt="Geben Sie hier das Nettogewicht des Produkts in kg pro Stück ein. Der Wert sollte möglichst genau dem deklarierten Gesamtgewicht entsprechen." sqref="D13" xr:uid="{E8A12F7B-0726-4364-9919-A62E384204EA}">
      <formula1>0</formula1>
      <formula2>99999</formula2>
    </dataValidation>
    <dataValidation type="decimal" allowBlank="1" showInputMessage="1" showErrorMessage="1" errorTitle="Fehler" error="Es sind nur Werte zwischen 0 und 99999 zulässig." promptTitle="Menge" prompt="Geben Sie hier das Gewicht des im Produkt verwendeten Materials ein. Es sind nur positive Werte zulässig." sqref="H16:H27" xr:uid="{1ABF6343-DFE3-4706-8A5A-9DDF5CD7155B}">
      <formula1>0</formula1>
      <formula2>99999</formula2>
    </dataValidation>
    <dataValidation type="list" allowBlank="1" showInputMessage="1" showErrorMessage="1" errorTitle="Fehler" error="Sie müssen einen Eintrag aus der Liste wählen." promptTitle="Material" prompt="Wählen Sie ein Material aus der Liste. Die Listeneinträge sind je nach gewählter Gruppe unterschiedlich." sqref="G16:G27" xr:uid="{71EBED97-31F8-4CD0-A2AD-C5836F50E317}">
      <formula1>INDIRECT($F16)</formula1>
    </dataValidation>
    <dataValidation type="list" allowBlank="1" showInputMessage="1" showErrorMessage="1" errorTitle="Fehler" error="Sie müssen einen Wert aus der Liste wählen." promptTitle="Gruppe" prompt="Wählen Sie eine Materialgruppe aus. " sqref="F16:F27" xr:uid="{95FA9A59-BFB0-4FC8-835C-98D28AA542FC}">
      <formula1>RSart</formula1>
    </dataValidation>
    <dataValidation allowBlank="1" showInputMessage="1" showErrorMessage="1" promptTitle="Bezeichnung" prompt="Geben Sie hier ein, um welches Teil des Möbels es sich handelt (z.B. Beschlag Schublade)." sqref="D16:D27" xr:uid="{6445BFFB-D674-4CB6-9D83-716B5827751F}"/>
    <dataValidation type="list" allowBlank="1" showInputMessage="1" showErrorMessage="1" sqref="F28" xr:uid="{D5FD8DB8-05C6-4C29-8CB1-B17AAD38AFA4}">
      <formula1>RSart</formula1>
    </dataValidation>
    <dataValidation type="list" allowBlank="1" showInputMessage="1" showErrorMessage="1" sqref="G28" xr:uid="{B8537FA2-B205-40F9-B9D9-2DA21AE9D77E}">
      <formula1>INDIRECT($F28)</formula1>
    </dataValidation>
    <dataValidation allowBlank="1" showInputMessage="1" showErrorMessage="1" promptTitle="Bezeichnung Strom" prompt="Geben Sie hier einen Text zur Bezeichnung der Stromquelle oder der Stromart ein (z.B. &quot;EON Aquamix&quot; oder &quot;Strom ab PV-Anlage Werk 3&quot;)" sqref="D35:E37" xr:uid="{FD3C6849-B028-4DD1-9B78-FF8DA8D65768}"/>
    <dataValidation type="list" allowBlank="1" showInputMessage="1" showErrorMessage="1" promptTitle="Energieträger Strom" prompt="Wählen Sie denjenigen Eintrag aus der Liste, welcher der verwendeten Stromquelle bzw. dem Strommix am besten entspricht." sqref="F35:G37" xr:uid="{ADB4A8CE-6732-48FD-8704-0B93CAB99F2C}">
      <formula1>LstStrom</formula1>
    </dataValidation>
    <dataValidation type="list" allowBlank="1" showInputMessage="1" showErrorMessage="1" promptTitle="Energieträger Wärme" prompt="Wählen Sie denjenigen Eintrag aus der Liste, welcher der verwendeten Wärmequelle am besten entspricht." sqref="F39:G41" xr:uid="{FF0AC243-F48A-4C8F-AF01-BB930EF5357A}">
      <formula1>LstWaerme</formula1>
    </dataValidation>
    <dataValidation type="decimal" allowBlank="1" showInputMessage="1" showErrorMessage="1" errorTitle="Fehler" error="Sie müssen Werte zwischen 0 und 100% eingeben." promptTitle="Anteil" prompt="Geben Sie den Anteil des Energieträgers am gesamten Strommix in Prozenten ein. Die Summe aller Anteile muss 100% betragen." sqref="H35:H37 H39:H41" xr:uid="{1E67A65D-85F2-4F3D-B130-C021F7AA637F}">
      <formula1>0</formula1>
      <formula2>1</formula2>
    </dataValidation>
    <dataValidation allowBlank="1" showInputMessage="1" showErrorMessage="1" sqref="F29:G29" xr:uid="{86DB074A-BFCC-4633-8D50-C8E31A64D261}"/>
  </dataValidations>
  <pageMargins left="0.23622047244094491" right="0.15748031496062992" top="0.94488188976377963" bottom="0.74803149606299213" header="0.31496062992125984" footer="0.31496062992125984"/>
  <pageSetup paperSize="9" scale="67" fitToHeight="0" orientation="portrait" r:id="rId1"/>
  <headerFooter>
    <oddHeader>&amp;L&amp;G</oddHeader>
    <oddFooter>&amp;L&amp;"Roboto,Standard"&amp;9&amp;D&amp;R&amp;"Roboto,Standard"&amp;9&amp;F</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17" r:id="rId5" name="Check Box 1">
              <controlPr defaultSize="0" autoFill="0" autoLine="0" autoPict="0" altText="Identisch zu den Angaben auf dem Blatt &quot;Start&quot;">
                <anchor moveWithCells="1">
                  <from>
                    <xdr:col>1</xdr:col>
                    <xdr:colOff>219075</xdr:colOff>
                    <xdr:row>43</xdr:row>
                    <xdr:rowOff>200025</xdr:rowOff>
                  </from>
                  <to>
                    <xdr:col>2</xdr:col>
                    <xdr:colOff>1857375</xdr:colOff>
                    <xdr:row>44</xdr:row>
                    <xdr:rowOff>200025</xdr:rowOff>
                  </to>
                </anchor>
              </controlPr>
            </control>
          </mc:Choice>
        </mc:AlternateContent>
        <mc:AlternateContent xmlns:mc="http://schemas.openxmlformats.org/markup-compatibility/2006">
          <mc:Choice Requires="x14">
            <control shapeId="9218" r:id="rId6" name="Check Box 2">
              <controlPr defaultSize="0" autoFill="0" autoLine="0" autoPict="0" altText="Identisch zu den Angaben auf dem Blatt &quot;Start&quot;">
                <anchor moveWithCells="1">
                  <from>
                    <xdr:col>1</xdr:col>
                    <xdr:colOff>209550</xdr:colOff>
                    <xdr:row>34</xdr:row>
                    <xdr:rowOff>171450</xdr:rowOff>
                  </from>
                  <to>
                    <xdr:col>2</xdr:col>
                    <xdr:colOff>1847850</xdr:colOff>
                    <xdr:row>36</xdr:row>
                    <xdr:rowOff>47625</xdr:rowOff>
                  </to>
                </anchor>
              </controlPr>
            </control>
          </mc:Choice>
        </mc:AlternateContent>
        <mc:AlternateContent xmlns:mc="http://schemas.openxmlformats.org/markup-compatibility/2006">
          <mc:Choice Requires="x14">
            <control shapeId="9219" r:id="rId7" name="Check Box 3">
              <controlPr defaultSize="0" autoFill="0" autoLine="0" autoPict="0" altText="Identisch zu den Angaben auf dem Blatt &quot;Start&quot;">
                <anchor moveWithCells="1">
                  <from>
                    <xdr:col>1</xdr:col>
                    <xdr:colOff>209550</xdr:colOff>
                    <xdr:row>38</xdr:row>
                    <xdr:rowOff>142875</xdr:rowOff>
                  </from>
                  <to>
                    <xdr:col>2</xdr:col>
                    <xdr:colOff>1838325</xdr:colOff>
                    <xdr:row>40</xdr:row>
                    <xdr:rowOff>47625</xdr:rowOff>
                  </to>
                </anchor>
              </controlPr>
            </control>
          </mc:Choice>
        </mc:AlternateContent>
        <mc:AlternateContent xmlns:mc="http://schemas.openxmlformats.org/markup-compatibility/2006">
          <mc:Choice Requires="x14">
            <control shapeId="9220" r:id="rId8" name="Check Box 4">
              <controlPr defaultSize="0" autoFill="0" autoLine="0" autoPict="0" altText="Identisch zu den Angaben auf dem Blatt &quot;Start&quot;">
                <anchor moveWithCells="1">
                  <from>
                    <xdr:col>1</xdr:col>
                    <xdr:colOff>219075</xdr:colOff>
                    <xdr:row>30</xdr:row>
                    <xdr:rowOff>161925</xdr:rowOff>
                  </from>
                  <to>
                    <xdr:col>2</xdr:col>
                    <xdr:colOff>1857375</xdr:colOff>
                    <xdr:row>32</xdr:row>
                    <xdr:rowOff>19050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57268F2-6C2F-47AB-ADD9-F5B2F4A76B02}">
            <x14:dataBar minLength="0" maxLength="100" border="1" negativeBarBorderColorSameAsPositive="0">
              <x14:cfvo type="autoMin"/>
              <x14:cfvo type="autoMax"/>
              <x14:borderColor rgb="FF63C384"/>
              <x14:negativeFillColor rgb="FFFF0000"/>
              <x14:negativeBorderColor rgb="FFFF0000"/>
              <x14:axisColor rgb="FF000000"/>
            </x14:dataBar>
          </x14:cfRule>
          <xm:sqref>I52:I55</xm:sqref>
        </x14:conditionalFormatting>
        <x14:conditionalFormatting xmlns:xm="http://schemas.microsoft.com/office/excel/2006/main">
          <x14:cfRule type="dataBar" id="{B26402E2-24DD-4048-8B85-4A5510E6FA6B}">
            <x14:dataBar minLength="0" maxLength="100" border="1" negativeBarBorderColorSameAsPositive="0">
              <x14:cfvo type="autoMin"/>
              <x14:cfvo type="autoMax"/>
              <x14:borderColor rgb="FF63C384"/>
              <x14:negativeFillColor rgb="FFFF0000"/>
              <x14:negativeBorderColor rgb="FFFF0000"/>
              <x14:axisColor rgb="FF000000"/>
            </x14:dataBar>
          </x14:cfRule>
          <xm:sqref>I56</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C3919-C2F0-4D45-BC0D-3A4F0ADB1BB3}">
  <sheetPr>
    <pageSetUpPr autoPageBreaks="0" fitToPage="1"/>
  </sheetPr>
  <dimension ref="A1:AN98"/>
  <sheetViews>
    <sheetView showGridLines="0" zoomScale="87" zoomScaleNormal="87" workbookViewId="0">
      <selection activeCell="D9" sqref="D9:H9"/>
    </sheetView>
  </sheetViews>
  <sheetFormatPr baseColWidth="10" defaultColWidth="11.42578125" defaultRowHeight="15"/>
  <cols>
    <col min="1" max="1" width="2.5703125" style="146" customWidth="1"/>
    <col min="2" max="2" width="3.42578125" style="146" customWidth="1"/>
    <col min="3" max="3" width="31.140625" style="146" customWidth="1"/>
    <col min="4" max="4" width="18" style="146" customWidth="1"/>
    <col min="5" max="5" width="23.28515625" style="146" customWidth="1"/>
    <col min="6" max="7" width="26.28515625" style="146" customWidth="1"/>
    <col min="8" max="8" width="14" style="146" customWidth="1"/>
    <col min="9" max="9" width="6.140625" style="146" customWidth="1"/>
    <col min="10" max="10" width="18.5703125" style="146" customWidth="1"/>
    <col min="11" max="11" width="24.42578125" style="146" hidden="1" customWidth="1"/>
    <col min="12" max="12" width="21.5703125" style="146" hidden="1" customWidth="1"/>
    <col min="13" max="19" width="16.7109375" style="146" hidden="1" customWidth="1"/>
    <col min="20" max="20" width="24.5703125" style="146" hidden="1" customWidth="1"/>
    <col min="21" max="16384" width="11.42578125" style="146"/>
  </cols>
  <sheetData>
    <row r="1" spans="1:40" s="6" customFormat="1">
      <c r="A1" s="7"/>
      <c r="B1" s="7"/>
      <c r="C1" s="9"/>
      <c r="D1" s="9"/>
      <c r="E1" s="9"/>
      <c r="F1" s="9"/>
      <c r="G1" s="9"/>
      <c r="H1" s="9"/>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row>
    <row r="2" spans="1:40" s="6" customFormat="1">
      <c r="A2" s="7"/>
      <c r="B2" s="7"/>
      <c r="C2" s="9"/>
      <c r="D2" s="9"/>
      <c r="E2" s="9"/>
      <c r="F2" s="9"/>
      <c r="G2" s="9"/>
      <c r="H2" s="9"/>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row>
    <row r="3" spans="1:40" s="6" customFormat="1">
      <c r="A3" s="7"/>
      <c r="B3" s="7"/>
      <c r="C3" s="9"/>
      <c r="D3" s="9"/>
      <c r="E3" s="9"/>
      <c r="F3" s="9"/>
      <c r="G3" s="9"/>
      <c r="H3" s="9"/>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row>
    <row r="4" spans="1:40" s="6" customFormat="1" ht="12" customHeight="1">
      <c r="A4" s="7"/>
      <c r="B4" s="7"/>
      <c r="C4" s="9"/>
      <c r="D4" s="9"/>
      <c r="E4" s="9"/>
      <c r="F4" s="9"/>
      <c r="G4" s="9"/>
      <c r="H4" s="9"/>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row>
    <row r="5" spans="1:40" s="6" customFormat="1">
      <c r="A5" s="7"/>
      <c r="B5" s="7"/>
      <c r="C5" s="9"/>
      <c r="D5" s="9"/>
      <c r="E5" s="9"/>
      <c r="F5" s="9"/>
      <c r="G5" s="9"/>
      <c r="H5" s="9"/>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row>
    <row r="6" spans="1:40" s="340" customFormat="1" ht="25.5" customHeight="1">
      <c r="A6" s="336"/>
      <c r="B6" s="11"/>
      <c r="C6" s="337" t="s">
        <v>34</v>
      </c>
      <c r="D6" s="339"/>
      <c r="E6" s="339"/>
      <c r="F6" s="339"/>
      <c r="G6" s="338" t="str">
        <f>"Version "&amp;Version</f>
        <v>Version 1.3</v>
      </c>
      <c r="H6" s="471">
        <f>VersionsDatum</f>
        <v>45229</v>
      </c>
      <c r="I6" s="471"/>
      <c r="J6" s="336"/>
      <c r="K6" s="242" t="s">
        <v>235</v>
      </c>
      <c r="L6" s="11"/>
      <c r="M6" s="11"/>
      <c r="N6" s="11"/>
      <c r="O6" s="11"/>
      <c r="P6" s="11"/>
      <c r="Q6" s="11"/>
      <c r="R6" s="11"/>
      <c r="S6" s="11"/>
      <c r="T6" s="11"/>
      <c r="U6" s="336"/>
      <c r="V6" s="336"/>
      <c r="W6" s="336"/>
      <c r="X6" s="336"/>
      <c r="Y6" s="336"/>
      <c r="Z6" s="336"/>
      <c r="AA6" s="336"/>
      <c r="AB6" s="336"/>
      <c r="AC6" s="336"/>
      <c r="AD6" s="336"/>
      <c r="AE6" s="336"/>
      <c r="AF6" s="336"/>
      <c r="AG6" s="336"/>
      <c r="AH6" s="336"/>
      <c r="AI6" s="336"/>
      <c r="AJ6" s="336"/>
      <c r="AK6" s="336"/>
      <c r="AL6" s="336"/>
      <c r="AM6" s="336"/>
      <c r="AN6" s="336"/>
    </row>
    <row r="7" spans="1:40" s="6" customFormat="1" ht="4.5" customHeight="1" thickBot="1">
      <c r="A7" s="7"/>
      <c r="B7" s="268"/>
      <c r="C7" s="268"/>
      <c r="D7" s="268"/>
      <c r="E7" s="268"/>
      <c r="F7" s="268"/>
      <c r="G7" s="268"/>
      <c r="H7" s="268"/>
      <c r="I7" s="268"/>
      <c r="J7" s="7"/>
      <c r="K7" s="11"/>
      <c r="L7" s="11"/>
      <c r="M7" s="11"/>
      <c r="N7" s="11"/>
      <c r="O7" s="11"/>
      <c r="P7" s="11"/>
      <c r="Q7" s="11"/>
      <c r="R7" s="11"/>
      <c r="S7" s="11"/>
      <c r="T7" s="11"/>
      <c r="U7" s="7"/>
      <c r="V7" s="7"/>
      <c r="W7" s="7"/>
      <c r="X7" s="7"/>
      <c r="Y7" s="7"/>
      <c r="Z7" s="7"/>
      <c r="AA7" s="7"/>
      <c r="AB7" s="7"/>
      <c r="AC7" s="7"/>
      <c r="AD7" s="7"/>
      <c r="AE7" s="7"/>
      <c r="AF7" s="7"/>
      <c r="AG7" s="7"/>
      <c r="AH7" s="7"/>
      <c r="AI7" s="7"/>
      <c r="AJ7" s="7"/>
      <c r="AK7" s="7"/>
      <c r="AL7" s="7"/>
      <c r="AM7" s="7"/>
      <c r="AN7" s="7"/>
    </row>
    <row r="8" spans="1:40" s="6" customFormat="1" ht="27" customHeight="1">
      <c r="A8" s="7"/>
      <c r="B8" s="11"/>
      <c r="C8" s="233" t="str">
        <f>"Produkt 3"&amp;IF(D9&lt;&gt;"",": "&amp;D9,"")</f>
        <v>Produkt 3</v>
      </c>
      <c r="D8" s="233"/>
      <c r="E8" s="233"/>
      <c r="F8" s="14"/>
      <c r="G8" s="13"/>
      <c r="H8" s="232" t="b">
        <f>IF(AND(COUNTA(F$16:F$27)&gt;0,COUNTA(G$16:G$27)&gt;0,SUM(H$16:H$27)&gt;0),TRUE,FALSE)</f>
        <v>0</v>
      </c>
      <c r="I8" s="13"/>
      <c r="J8" s="7"/>
      <c r="K8" s="236" t="s">
        <v>56</v>
      </c>
      <c r="L8" s="475" t="s">
        <v>172</v>
      </c>
      <c r="M8" s="476"/>
      <c r="N8" s="476"/>
      <c r="O8" s="476"/>
      <c r="P8" s="476"/>
      <c r="Q8" s="476"/>
      <c r="R8" s="476"/>
      <c r="S8" s="476"/>
      <c r="T8" s="265"/>
      <c r="U8" s="7"/>
      <c r="V8" s="7"/>
      <c r="W8" s="7"/>
      <c r="X8" s="7"/>
      <c r="Y8" s="7"/>
      <c r="Z8" s="7"/>
      <c r="AA8" s="7"/>
      <c r="AB8" s="7"/>
      <c r="AC8" s="7"/>
      <c r="AD8" s="7"/>
      <c r="AE8" s="7"/>
      <c r="AF8" s="7"/>
      <c r="AG8" s="7"/>
      <c r="AH8" s="7"/>
      <c r="AI8" s="7"/>
      <c r="AJ8" s="7"/>
      <c r="AK8" s="7"/>
      <c r="AL8" s="7"/>
      <c r="AM8" s="7"/>
      <c r="AN8" s="7"/>
    </row>
    <row r="9" spans="1:40" s="6" customFormat="1" ht="18" customHeight="1">
      <c r="A9" s="7"/>
      <c r="B9" s="11"/>
      <c r="C9" s="148" t="s">
        <v>56</v>
      </c>
      <c r="D9" s="474"/>
      <c r="E9" s="474"/>
      <c r="F9" s="474"/>
      <c r="G9" s="474"/>
      <c r="H9" s="474"/>
      <c r="I9" s="71"/>
      <c r="J9" s="149"/>
      <c r="K9" s="234" t="s">
        <v>375</v>
      </c>
      <c r="L9" s="397">
        <f>Start!Y40</f>
        <v>598.54</v>
      </c>
      <c r="M9" s="145"/>
      <c r="N9" s="384">
        <f>Start!Z40</f>
        <v>0.63600000000000001</v>
      </c>
      <c r="O9" s="145"/>
      <c r="P9" s="384">
        <f>Start!AA40</f>
        <v>1.7452799999999999</v>
      </c>
      <c r="Q9" s="145"/>
      <c r="R9" s="400">
        <f>Start!AB40</f>
        <v>0.32163999999999998</v>
      </c>
      <c r="S9" s="145"/>
      <c r="T9" s="145"/>
      <c r="U9" s="7"/>
      <c r="V9" s="7"/>
      <c r="W9" s="7"/>
      <c r="X9" s="7"/>
      <c r="Y9" s="7"/>
      <c r="Z9" s="7"/>
      <c r="AA9" s="7"/>
      <c r="AB9" s="7"/>
      <c r="AC9" s="7"/>
      <c r="AD9" s="7"/>
      <c r="AE9" s="7"/>
      <c r="AF9" s="7"/>
      <c r="AG9" s="7"/>
      <c r="AH9" s="7"/>
      <c r="AI9" s="7"/>
      <c r="AJ9" s="7"/>
      <c r="AK9" s="7"/>
      <c r="AL9" s="7"/>
      <c r="AM9" s="7"/>
      <c r="AN9" s="7"/>
    </row>
    <row r="10" spans="1:40" s="6" customFormat="1" ht="6" customHeight="1">
      <c r="A10" s="7"/>
      <c r="B10" s="11"/>
      <c r="C10" s="148"/>
      <c r="D10" s="71"/>
      <c r="E10" s="71"/>
      <c r="F10" s="71"/>
      <c r="G10" s="71"/>
      <c r="H10" s="71"/>
      <c r="I10" s="71"/>
      <c r="J10" s="149"/>
      <c r="K10" s="234"/>
      <c r="L10" s="237"/>
      <c r="M10" s="145"/>
      <c r="N10" s="145"/>
      <c r="O10" s="145"/>
      <c r="P10" s="145"/>
      <c r="Q10" s="145"/>
      <c r="R10" s="145"/>
      <c r="S10" s="145"/>
      <c r="T10" s="145"/>
      <c r="U10" s="7"/>
      <c r="V10" s="7"/>
      <c r="W10" s="7"/>
      <c r="X10" s="7"/>
      <c r="Y10" s="7"/>
      <c r="Z10" s="7"/>
      <c r="AA10" s="7"/>
      <c r="AB10" s="7"/>
      <c r="AC10" s="7"/>
      <c r="AD10" s="7"/>
      <c r="AE10" s="7"/>
      <c r="AF10" s="7"/>
      <c r="AG10" s="7"/>
      <c r="AH10" s="7"/>
      <c r="AI10" s="7"/>
      <c r="AJ10" s="7"/>
      <c r="AK10" s="7"/>
      <c r="AL10" s="7"/>
      <c r="AM10" s="7"/>
      <c r="AN10" s="7"/>
    </row>
    <row r="11" spans="1:40" s="6" customFormat="1" ht="18" customHeight="1" thickBot="1">
      <c r="A11" s="7"/>
      <c r="B11" s="11"/>
      <c r="C11" s="148" t="s">
        <v>57</v>
      </c>
      <c r="D11" s="474"/>
      <c r="E11" s="474"/>
      <c r="F11" s="474"/>
      <c r="G11" s="474"/>
      <c r="H11" s="474"/>
      <c r="I11" s="71"/>
      <c r="J11" s="149"/>
      <c r="K11" s="248" t="s">
        <v>376</v>
      </c>
      <c r="L11" s="398">
        <f>Start!Y42</f>
        <v>295.74</v>
      </c>
      <c r="M11" s="240"/>
      <c r="N11" s="399">
        <f>Start!Z42</f>
        <v>5.2900000000000004E-3</v>
      </c>
      <c r="O11" s="240"/>
      <c r="P11" s="399">
        <f>Start!AA42</f>
        <v>1.0708599999999999</v>
      </c>
      <c r="Q11" s="240"/>
      <c r="R11" s="401">
        <f>Start!AB42</f>
        <v>0.24480000000000005</v>
      </c>
      <c r="S11" s="240"/>
      <c r="T11" s="240"/>
      <c r="U11" s="7"/>
      <c r="V11" s="7"/>
      <c r="W11" s="7"/>
      <c r="X11" s="7"/>
      <c r="Y11" s="7"/>
      <c r="Z11" s="7"/>
      <c r="AA11" s="7"/>
      <c r="AB11" s="7"/>
      <c r="AC11" s="7"/>
      <c r="AD11" s="7"/>
      <c r="AE11" s="7"/>
      <c r="AF11" s="7"/>
      <c r="AG11" s="7"/>
      <c r="AH11" s="7"/>
      <c r="AI11" s="7"/>
      <c r="AJ11" s="7"/>
      <c r="AK11" s="7"/>
      <c r="AL11" s="7"/>
      <c r="AM11" s="7"/>
      <c r="AN11" s="7"/>
    </row>
    <row r="12" spans="1:40" s="6" customFormat="1" ht="6" customHeight="1">
      <c r="A12" s="7"/>
      <c r="B12" s="11"/>
      <c r="C12" s="148"/>
      <c r="D12" s="71"/>
      <c r="E12" s="71"/>
      <c r="F12" s="71"/>
      <c r="G12" s="71"/>
      <c r="H12" s="71"/>
      <c r="I12" s="71"/>
      <c r="J12" s="149"/>
      <c r="K12" s="234"/>
      <c r="L12" s="238"/>
      <c r="M12" s="10"/>
      <c r="N12" s="10"/>
      <c r="O12" s="10"/>
      <c r="P12" s="10"/>
      <c r="Q12" s="10"/>
      <c r="R12" s="10"/>
      <c r="S12" s="10"/>
      <c r="T12" s="10"/>
      <c r="U12" s="7"/>
      <c r="V12" s="7"/>
      <c r="W12" s="7"/>
      <c r="X12" s="7"/>
      <c r="Y12" s="7"/>
      <c r="Z12" s="7"/>
      <c r="AA12" s="7"/>
      <c r="AB12" s="7"/>
      <c r="AC12" s="7"/>
      <c r="AD12" s="7"/>
      <c r="AE12" s="7"/>
      <c r="AF12" s="7"/>
      <c r="AG12" s="7"/>
      <c r="AH12" s="7"/>
      <c r="AI12" s="7"/>
      <c r="AJ12" s="7"/>
      <c r="AK12" s="7"/>
      <c r="AL12" s="7"/>
      <c r="AM12" s="7"/>
      <c r="AN12" s="7"/>
    </row>
    <row r="13" spans="1:40" s="6" customFormat="1" ht="18" customHeight="1">
      <c r="A13" s="7"/>
      <c r="B13" s="11"/>
      <c r="C13" s="148" t="s">
        <v>163</v>
      </c>
      <c r="D13" s="259"/>
      <c r="E13" s="148" t="s">
        <v>226</v>
      </c>
      <c r="F13" s="148"/>
      <c r="G13" s="264" t="s">
        <v>168</v>
      </c>
      <c r="H13" s="266">
        <v>1</v>
      </c>
      <c r="I13" s="148" t="s">
        <v>169</v>
      </c>
      <c r="J13" s="149"/>
      <c r="K13" s="234" t="s">
        <v>157</v>
      </c>
      <c r="L13" s="356" t="s">
        <v>148</v>
      </c>
      <c r="M13" s="235" t="s">
        <v>149</v>
      </c>
      <c r="N13" s="235" t="s">
        <v>334</v>
      </c>
      <c r="O13" s="235" t="s">
        <v>335</v>
      </c>
      <c r="P13" s="235" t="s">
        <v>150</v>
      </c>
      <c r="Q13" s="235" t="s">
        <v>151</v>
      </c>
      <c r="R13" s="235" t="s">
        <v>152</v>
      </c>
      <c r="S13" s="235" t="s">
        <v>153</v>
      </c>
      <c r="T13" s="235" t="s">
        <v>268</v>
      </c>
      <c r="U13" s="7"/>
      <c r="V13" s="7"/>
      <c r="W13" s="7"/>
      <c r="X13" s="7"/>
      <c r="Y13" s="7"/>
      <c r="Z13" s="7"/>
      <c r="AA13" s="7"/>
      <c r="AB13" s="7"/>
      <c r="AC13" s="7"/>
      <c r="AD13" s="7"/>
      <c r="AE13" s="7"/>
      <c r="AF13" s="7"/>
      <c r="AG13" s="7"/>
      <c r="AH13" s="7"/>
      <c r="AI13" s="7"/>
      <c r="AJ13" s="7"/>
      <c r="AK13" s="7"/>
      <c r="AL13" s="7"/>
      <c r="AM13" s="7"/>
      <c r="AN13" s="7"/>
    </row>
    <row r="14" spans="1:40" s="6" customFormat="1" ht="6" customHeight="1" thickBot="1">
      <c r="A14" s="7"/>
      <c r="B14" s="11"/>
      <c r="C14" s="148"/>
      <c r="D14" s="71"/>
      <c r="E14" s="71"/>
      <c r="F14" s="71"/>
      <c r="G14" s="71"/>
      <c r="H14" s="71"/>
      <c r="I14" s="71"/>
      <c r="J14" s="149"/>
      <c r="K14" s="14"/>
      <c r="L14" s="237"/>
      <c r="M14" s="145"/>
      <c r="N14" s="145"/>
      <c r="O14" s="145"/>
      <c r="P14" s="145"/>
      <c r="Q14" s="145"/>
      <c r="R14" s="145"/>
      <c r="S14" s="145"/>
      <c r="T14" s="145"/>
      <c r="U14" s="7"/>
      <c r="V14" s="7"/>
      <c r="W14" s="7"/>
      <c r="X14" s="7"/>
      <c r="Y14" s="7"/>
      <c r="Z14" s="7"/>
      <c r="AA14" s="7"/>
      <c r="AB14" s="7"/>
      <c r="AC14" s="7"/>
      <c r="AD14" s="7"/>
      <c r="AE14" s="7"/>
      <c r="AF14" s="7"/>
      <c r="AG14" s="7"/>
      <c r="AH14" s="7"/>
      <c r="AI14" s="7"/>
      <c r="AJ14" s="7"/>
      <c r="AK14" s="7"/>
      <c r="AL14" s="7"/>
      <c r="AM14" s="7"/>
      <c r="AN14" s="7"/>
    </row>
    <row r="15" spans="1:40" s="6" customFormat="1" ht="20.25" customHeight="1" thickBot="1">
      <c r="A15" s="7"/>
      <c r="B15" s="348"/>
      <c r="C15" s="451" t="s">
        <v>173</v>
      </c>
      <c r="D15" s="448" t="s">
        <v>56</v>
      </c>
      <c r="E15" s="448"/>
      <c r="F15" s="448" t="s">
        <v>156</v>
      </c>
      <c r="G15" s="448" t="s">
        <v>157</v>
      </c>
      <c r="H15" s="452" t="s">
        <v>159</v>
      </c>
      <c r="I15" s="448" t="s">
        <v>158</v>
      </c>
      <c r="J15" s="150"/>
      <c r="K15" s="14"/>
      <c r="L15" s="354" t="s">
        <v>16</v>
      </c>
      <c r="M15" s="355" t="s">
        <v>16</v>
      </c>
      <c r="N15" s="355" t="s">
        <v>154</v>
      </c>
      <c r="O15" s="355" t="s">
        <v>154</v>
      </c>
      <c r="P15" s="355" t="s">
        <v>154</v>
      </c>
      <c r="Q15" s="355" t="s">
        <v>154</v>
      </c>
      <c r="R15" s="355" t="s">
        <v>155</v>
      </c>
      <c r="S15" s="355" t="s">
        <v>155</v>
      </c>
      <c r="T15" s="355" t="s">
        <v>258</v>
      </c>
      <c r="U15" s="7"/>
      <c r="V15" s="7"/>
      <c r="W15" s="7"/>
      <c r="X15" s="7"/>
      <c r="Y15" s="7"/>
      <c r="Z15" s="7"/>
      <c r="AA15" s="7"/>
      <c r="AB15" s="7"/>
      <c r="AC15" s="7"/>
      <c r="AD15" s="7"/>
      <c r="AE15" s="7"/>
      <c r="AF15" s="7"/>
      <c r="AG15" s="7"/>
      <c r="AH15" s="7"/>
      <c r="AI15" s="7"/>
      <c r="AJ15" s="7"/>
      <c r="AK15" s="7"/>
      <c r="AL15" s="7"/>
      <c r="AM15" s="7"/>
      <c r="AN15" s="7"/>
    </row>
    <row r="16" spans="1:40" s="6" customFormat="1" ht="14.25" customHeight="1">
      <c r="A16" s="7"/>
      <c r="B16" s="11"/>
      <c r="C16" s="148" t="s">
        <v>416</v>
      </c>
      <c r="D16" s="468"/>
      <c r="E16" s="469"/>
      <c r="F16" s="372"/>
      <c r="G16" s="372"/>
      <c r="H16" s="373"/>
      <c r="I16" s="379" t="str">
        <f t="shared" ref="I16:I27" si="0">IFERROR(VLOOKUP(G16,MxLCA,3,FALSE),"")</f>
        <v/>
      </c>
      <c r="J16" s="150"/>
      <c r="K16" s="14"/>
      <c r="L16" s="252">
        <f t="shared" ref="L16:L27" si="1">IFERROR(VLOOKUP($G16,MxLCA,5,FALSE)*$H16*Anzahl/$M$45,0)</f>
        <v>0</v>
      </c>
      <c r="M16" s="253">
        <f t="shared" ref="M16:M27" si="2">IFERROR(VLOOKUP($G16,MxLCA,6,FALSE)*$H16*Anzahl/IF(OR($M$45&gt;GWOMatEff,$M$45=0),DefMatEff,$M$45),0)</f>
        <v>0</v>
      </c>
      <c r="N16" s="345">
        <f t="shared" ref="N16:N27" si="3">IFERROR(VLOOKUP($G16,MxLCA,8,FALSE)*$H16*Anzahl/IF(OR($M$45&gt;GWOMatEff,$M$45=0),DefMatEff,$M$45),0)</f>
        <v>0</v>
      </c>
      <c r="O16" s="345">
        <f t="shared" ref="O16:O27" si="4">IFERROR(VLOOKUP($G16,MxLCA,9,FALSE)*$H16*Anzahl/IF(OR($M$45&gt;GWOMatEff,$M$45=0),DefMatEff,$M$45),0)</f>
        <v>0</v>
      </c>
      <c r="P16" s="249">
        <f t="shared" ref="P16:P27" si="5">IFERROR(VLOOKUP($G16,MxLCA,14,FALSE)*$H16*Anzahl/IF(OR($M$45&gt;GWOMatEff,$M$45=0),DefMatEff,$M$45),0)</f>
        <v>0</v>
      </c>
      <c r="Q16" s="249">
        <f t="shared" ref="Q16:Q27" si="6">IFERROR(VLOOKUP($G16,MxLCA,15,FALSE)*$H16*Anzahl/IF(OR($M$45&gt;GWOMatEff,$M$45=0),DefMatEff,$M$45),0)</f>
        <v>0</v>
      </c>
      <c r="R16" s="250">
        <f t="shared" ref="R16:R27" si="7">IFERROR(VLOOKUP($G16,MxLCA,17,FALSE)*$H16*Anzahl/IF(OR($M$45&gt;GWOMatEff,$M$45=0),DefMatEff,$M$45),0)</f>
        <v>0</v>
      </c>
      <c r="S16" s="250">
        <f t="shared" ref="S16:S27" si="8">IFERROR(VLOOKUP($G16,MxLCA,18,FALSE)*$H16*Anzahl/IF(OR($M$45&gt;GWOMatEff,$M$45=0),DefMatEff,$M$45),0)</f>
        <v>0</v>
      </c>
      <c r="T16" s="251">
        <f t="shared" ref="T16:T27" si="9">IFERROR(VLOOKUP($G16,MxLCA,19,FALSE)*$H16*Anzahl,0)</f>
        <v>0</v>
      </c>
      <c r="U16" s="7"/>
      <c r="V16" s="7"/>
      <c r="W16" s="7"/>
      <c r="X16" s="7"/>
      <c r="Y16" s="7"/>
      <c r="Z16" s="7"/>
      <c r="AA16" s="7"/>
      <c r="AB16" s="7"/>
      <c r="AC16" s="7"/>
      <c r="AD16" s="7"/>
      <c r="AE16" s="7"/>
      <c r="AF16" s="7"/>
      <c r="AG16" s="7"/>
      <c r="AH16" s="7"/>
      <c r="AI16" s="7"/>
      <c r="AJ16" s="7"/>
      <c r="AK16" s="7"/>
      <c r="AL16" s="7"/>
      <c r="AM16" s="7"/>
      <c r="AN16" s="7"/>
    </row>
    <row r="17" spans="1:40" s="6" customFormat="1" ht="14.25" customHeight="1">
      <c r="A17" s="7"/>
      <c r="B17" s="11"/>
      <c r="C17" s="148" t="s">
        <v>229</v>
      </c>
      <c r="D17" s="468"/>
      <c r="E17" s="469"/>
      <c r="F17" s="372"/>
      <c r="G17" s="372"/>
      <c r="H17" s="373"/>
      <c r="I17" s="379" t="str">
        <f t="shared" si="0"/>
        <v/>
      </c>
      <c r="J17" s="150"/>
      <c r="K17" s="234"/>
      <c r="L17" s="254">
        <f t="shared" si="1"/>
        <v>0</v>
      </c>
      <c r="M17" s="369">
        <f t="shared" si="2"/>
        <v>0</v>
      </c>
      <c r="N17" s="346">
        <f t="shared" si="3"/>
        <v>0</v>
      </c>
      <c r="O17" s="346">
        <f t="shared" si="4"/>
        <v>0</v>
      </c>
      <c r="P17" s="370">
        <f t="shared" si="5"/>
        <v>0</v>
      </c>
      <c r="Q17" s="370">
        <f t="shared" si="6"/>
        <v>0</v>
      </c>
      <c r="R17" s="371">
        <f t="shared" si="7"/>
        <v>0</v>
      </c>
      <c r="S17" s="371">
        <f t="shared" si="8"/>
        <v>0</v>
      </c>
      <c r="T17" s="255">
        <f t="shared" si="9"/>
        <v>0</v>
      </c>
      <c r="U17" s="7"/>
      <c r="V17" s="7"/>
      <c r="W17" s="7"/>
      <c r="X17" s="7"/>
      <c r="Y17" s="7"/>
      <c r="Z17" s="7"/>
      <c r="AA17" s="7"/>
      <c r="AB17" s="7"/>
      <c r="AC17" s="7"/>
      <c r="AD17" s="7"/>
      <c r="AE17" s="7"/>
      <c r="AF17" s="7"/>
      <c r="AG17" s="7"/>
      <c r="AH17" s="7"/>
      <c r="AI17" s="7"/>
      <c r="AJ17" s="7"/>
      <c r="AK17" s="7"/>
      <c r="AL17" s="7"/>
      <c r="AM17" s="7"/>
      <c r="AN17" s="7"/>
    </row>
    <row r="18" spans="1:40" s="6" customFormat="1" ht="14.25" customHeight="1">
      <c r="A18" s="7"/>
      <c r="B18" s="11"/>
      <c r="C18" s="148"/>
      <c r="D18" s="468"/>
      <c r="E18" s="469"/>
      <c r="F18" s="372"/>
      <c r="G18" s="372"/>
      <c r="H18" s="373"/>
      <c r="I18" s="379" t="str">
        <f t="shared" si="0"/>
        <v/>
      </c>
      <c r="J18" s="150"/>
      <c r="K18" s="234"/>
      <c r="L18" s="254">
        <f t="shared" si="1"/>
        <v>0</v>
      </c>
      <c r="M18" s="369">
        <f t="shared" si="2"/>
        <v>0</v>
      </c>
      <c r="N18" s="346">
        <f t="shared" si="3"/>
        <v>0</v>
      </c>
      <c r="O18" s="346">
        <f t="shared" si="4"/>
        <v>0</v>
      </c>
      <c r="P18" s="370">
        <f t="shared" si="5"/>
        <v>0</v>
      </c>
      <c r="Q18" s="370">
        <f t="shared" si="6"/>
        <v>0</v>
      </c>
      <c r="R18" s="371">
        <f t="shared" si="7"/>
        <v>0</v>
      </c>
      <c r="S18" s="371">
        <f t="shared" si="8"/>
        <v>0</v>
      </c>
      <c r="T18" s="255">
        <f t="shared" si="9"/>
        <v>0</v>
      </c>
      <c r="U18" s="7"/>
      <c r="V18" s="7"/>
      <c r="W18" s="7"/>
      <c r="X18" s="7"/>
      <c r="Y18" s="7"/>
      <c r="Z18" s="7"/>
      <c r="AA18" s="7"/>
      <c r="AB18" s="7"/>
      <c r="AC18" s="7"/>
      <c r="AD18" s="7"/>
      <c r="AE18" s="7"/>
      <c r="AF18" s="7"/>
      <c r="AG18" s="7"/>
      <c r="AH18" s="7"/>
      <c r="AI18" s="7"/>
      <c r="AJ18" s="7"/>
      <c r="AK18" s="7"/>
      <c r="AL18" s="7"/>
      <c r="AM18" s="7"/>
      <c r="AN18" s="7"/>
    </row>
    <row r="19" spans="1:40" s="6" customFormat="1" ht="14.25" customHeight="1">
      <c r="A19" s="7"/>
      <c r="B19" s="11"/>
      <c r="C19" s="71"/>
      <c r="D19" s="468"/>
      <c r="E19" s="469"/>
      <c r="F19" s="372"/>
      <c r="G19" s="372"/>
      <c r="H19" s="373"/>
      <c r="I19" s="379" t="str">
        <f t="shared" si="0"/>
        <v/>
      </c>
      <c r="J19" s="150"/>
      <c r="K19" s="234"/>
      <c r="L19" s="254">
        <f t="shared" si="1"/>
        <v>0</v>
      </c>
      <c r="M19" s="369">
        <f t="shared" si="2"/>
        <v>0</v>
      </c>
      <c r="N19" s="346">
        <f t="shared" si="3"/>
        <v>0</v>
      </c>
      <c r="O19" s="346">
        <f t="shared" si="4"/>
        <v>0</v>
      </c>
      <c r="P19" s="370">
        <f t="shared" si="5"/>
        <v>0</v>
      </c>
      <c r="Q19" s="370">
        <f t="shared" si="6"/>
        <v>0</v>
      </c>
      <c r="R19" s="371">
        <f t="shared" si="7"/>
        <v>0</v>
      </c>
      <c r="S19" s="371">
        <f t="shared" si="8"/>
        <v>0</v>
      </c>
      <c r="T19" s="255">
        <f t="shared" si="9"/>
        <v>0</v>
      </c>
      <c r="U19" s="7"/>
      <c r="V19" s="7"/>
      <c r="W19" s="7"/>
      <c r="X19" s="7"/>
      <c r="Y19" s="7"/>
      <c r="Z19" s="7"/>
      <c r="AA19" s="7"/>
      <c r="AB19" s="7"/>
      <c r="AC19" s="7"/>
      <c r="AD19" s="7"/>
      <c r="AE19" s="7"/>
      <c r="AF19" s="7"/>
      <c r="AG19" s="7"/>
      <c r="AH19" s="7"/>
      <c r="AI19" s="7"/>
      <c r="AJ19" s="7"/>
      <c r="AK19" s="7"/>
      <c r="AL19" s="7"/>
      <c r="AM19" s="7"/>
      <c r="AN19" s="7"/>
    </row>
    <row r="20" spans="1:40" s="6" customFormat="1" ht="14.25" customHeight="1">
      <c r="A20" s="7"/>
      <c r="B20" s="11"/>
      <c r="C20" s="71"/>
      <c r="D20" s="468"/>
      <c r="E20" s="469"/>
      <c r="F20" s="372"/>
      <c r="G20" s="372"/>
      <c r="H20" s="373"/>
      <c r="I20" s="379" t="str">
        <f t="shared" si="0"/>
        <v/>
      </c>
      <c r="J20" s="150"/>
      <c r="K20" s="234"/>
      <c r="L20" s="254">
        <f t="shared" si="1"/>
        <v>0</v>
      </c>
      <c r="M20" s="369">
        <f t="shared" si="2"/>
        <v>0</v>
      </c>
      <c r="N20" s="346">
        <f t="shared" si="3"/>
        <v>0</v>
      </c>
      <c r="O20" s="346">
        <f t="shared" si="4"/>
        <v>0</v>
      </c>
      <c r="P20" s="370">
        <f t="shared" si="5"/>
        <v>0</v>
      </c>
      <c r="Q20" s="370">
        <f t="shared" si="6"/>
        <v>0</v>
      </c>
      <c r="R20" s="371">
        <f t="shared" si="7"/>
        <v>0</v>
      </c>
      <c r="S20" s="371">
        <f t="shared" si="8"/>
        <v>0</v>
      </c>
      <c r="T20" s="255">
        <f t="shared" si="9"/>
        <v>0</v>
      </c>
      <c r="U20" s="7"/>
      <c r="V20" s="7"/>
      <c r="W20" s="7"/>
      <c r="X20" s="7"/>
      <c r="Y20" s="7"/>
      <c r="Z20" s="7"/>
      <c r="AA20" s="7"/>
      <c r="AB20" s="7"/>
      <c r="AC20" s="7"/>
      <c r="AD20" s="7"/>
      <c r="AE20" s="7"/>
      <c r="AF20" s="7"/>
      <c r="AG20" s="7"/>
      <c r="AH20" s="7"/>
      <c r="AI20" s="7"/>
      <c r="AJ20" s="7"/>
      <c r="AK20" s="7"/>
      <c r="AL20" s="7"/>
      <c r="AM20" s="7"/>
      <c r="AN20" s="7"/>
    </row>
    <row r="21" spans="1:40" s="6" customFormat="1" ht="14.25" customHeight="1">
      <c r="A21" s="7"/>
      <c r="B21" s="11"/>
      <c r="C21" s="71"/>
      <c r="D21" s="468"/>
      <c r="E21" s="469"/>
      <c r="F21" s="372"/>
      <c r="G21" s="372"/>
      <c r="H21" s="373"/>
      <c r="I21" s="379" t="str">
        <f t="shared" si="0"/>
        <v/>
      </c>
      <c r="J21" s="150"/>
      <c r="K21" s="234"/>
      <c r="L21" s="254">
        <f t="shared" si="1"/>
        <v>0</v>
      </c>
      <c r="M21" s="369">
        <f t="shared" si="2"/>
        <v>0</v>
      </c>
      <c r="N21" s="346">
        <f t="shared" si="3"/>
        <v>0</v>
      </c>
      <c r="O21" s="346">
        <f t="shared" si="4"/>
        <v>0</v>
      </c>
      <c r="P21" s="370">
        <f t="shared" si="5"/>
        <v>0</v>
      </c>
      <c r="Q21" s="370">
        <f t="shared" si="6"/>
        <v>0</v>
      </c>
      <c r="R21" s="371">
        <f t="shared" si="7"/>
        <v>0</v>
      </c>
      <c r="S21" s="371">
        <f t="shared" si="8"/>
        <v>0</v>
      </c>
      <c r="T21" s="255">
        <f t="shared" si="9"/>
        <v>0</v>
      </c>
      <c r="U21" s="7"/>
      <c r="V21" s="7"/>
      <c r="W21" s="7"/>
      <c r="X21" s="7"/>
      <c r="Y21" s="7"/>
      <c r="Z21" s="7"/>
      <c r="AA21" s="7"/>
      <c r="AB21" s="7"/>
      <c r="AC21" s="7"/>
      <c r="AD21" s="7"/>
      <c r="AE21" s="7"/>
      <c r="AF21" s="7"/>
      <c r="AG21" s="7"/>
      <c r="AH21" s="7"/>
      <c r="AI21" s="7"/>
      <c r="AJ21" s="7"/>
      <c r="AK21" s="7"/>
      <c r="AL21" s="7"/>
      <c r="AM21" s="7"/>
      <c r="AN21" s="7"/>
    </row>
    <row r="22" spans="1:40" s="6" customFormat="1" ht="14.25" customHeight="1">
      <c r="A22" s="7"/>
      <c r="B22" s="11"/>
      <c r="C22" s="71"/>
      <c r="D22" s="468"/>
      <c r="E22" s="469"/>
      <c r="F22" s="372"/>
      <c r="G22" s="372"/>
      <c r="H22" s="373"/>
      <c r="I22" s="379" t="str">
        <f t="shared" si="0"/>
        <v/>
      </c>
      <c r="J22" s="150"/>
      <c r="K22" s="234"/>
      <c r="L22" s="254">
        <f t="shared" si="1"/>
        <v>0</v>
      </c>
      <c r="M22" s="369">
        <f t="shared" si="2"/>
        <v>0</v>
      </c>
      <c r="N22" s="346">
        <f t="shared" si="3"/>
        <v>0</v>
      </c>
      <c r="O22" s="346">
        <f t="shared" si="4"/>
        <v>0</v>
      </c>
      <c r="P22" s="370">
        <f t="shared" si="5"/>
        <v>0</v>
      </c>
      <c r="Q22" s="370">
        <f t="shared" si="6"/>
        <v>0</v>
      </c>
      <c r="R22" s="371">
        <f t="shared" si="7"/>
        <v>0</v>
      </c>
      <c r="S22" s="371">
        <f t="shared" si="8"/>
        <v>0</v>
      </c>
      <c r="T22" s="255">
        <f t="shared" si="9"/>
        <v>0</v>
      </c>
      <c r="U22" s="7"/>
      <c r="V22" s="7"/>
      <c r="W22" s="7"/>
      <c r="X22" s="7"/>
      <c r="Y22" s="7"/>
      <c r="Z22" s="7"/>
      <c r="AA22" s="7"/>
      <c r="AB22" s="7"/>
      <c r="AC22" s="7"/>
      <c r="AD22" s="7"/>
      <c r="AE22" s="7"/>
      <c r="AF22" s="7"/>
      <c r="AG22" s="7"/>
      <c r="AH22" s="7"/>
      <c r="AI22" s="7"/>
      <c r="AJ22" s="7"/>
      <c r="AK22" s="7"/>
      <c r="AL22" s="7"/>
      <c r="AM22" s="7"/>
      <c r="AN22" s="7"/>
    </row>
    <row r="23" spans="1:40" s="6" customFormat="1" ht="14.25" customHeight="1">
      <c r="A23" s="7"/>
      <c r="B23" s="11"/>
      <c r="C23" s="71"/>
      <c r="D23" s="468"/>
      <c r="E23" s="469"/>
      <c r="F23" s="372"/>
      <c r="G23" s="372"/>
      <c r="H23" s="373"/>
      <c r="I23" s="379" t="str">
        <f t="shared" si="0"/>
        <v/>
      </c>
      <c r="J23" s="150"/>
      <c r="K23" s="234"/>
      <c r="L23" s="254">
        <f t="shared" si="1"/>
        <v>0</v>
      </c>
      <c r="M23" s="369">
        <f t="shared" si="2"/>
        <v>0</v>
      </c>
      <c r="N23" s="346">
        <f t="shared" si="3"/>
        <v>0</v>
      </c>
      <c r="O23" s="346">
        <f t="shared" si="4"/>
        <v>0</v>
      </c>
      <c r="P23" s="370">
        <f t="shared" si="5"/>
        <v>0</v>
      </c>
      <c r="Q23" s="370">
        <f t="shared" si="6"/>
        <v>0</v>
      </c>
      <c r="R23" s="371">
        <f t="shared" si="7"/>
        <v>0</v>
      </c>
      <c r="S23" s="371">
        <f t="shared" si="8"/>
        <v>0</v>
      </c>
      <c r="T23" s="255">
        <f t="shared" si="9"/>
        <v>0</v>
      </c>
      <c r="U23" s="7"/>
      <c r="V23" s="7"/>
      <c r="W23" s="7"/>
      <c r="X23" s="7"/>
      <c r="Y23" s="7"/>
      <c r="Z23" s="7"/>
      <c r="AA23" s="7"/>
      <c r="AB23" s="7"/>
      <c r="AC23" s="7"/>
      <c r="AD23" s="7"/>
      <c r="AE23" s="7"/>
      <c r="AF23" s="7"/>
      <c r="AG23" s="7"/>
      <c r="AH23" s="7"/>
      <c r="AI23" s="7"/>
      <c r="AJ23" s="7"/>
      <c r="AK23" s="7"/>
      <c r="AL23" s="7"/>
      <c r="AM23" s="7"/>
      <c r="AN23" s="7"/>
    </row>
    <row r="24" spans="1:40" s="6" customFormat="1" ht="14.25" customHeight="1">
      <c r="A24" s="7"/>
      <c r="B24" s="11"/>
      <c r="C24" s="71"/>
      <c r="D24" s="468"/>
      <c r="E24" s="469"/>
      <c r="F24" s="372"/>
      <c r="G24" s="372"/>
      <c r="H24" s="373"/>
      <c r="I24" s="379" t="str">
        <f t="shared" si="0"/>
        <v/>
      </c>
      <c r="J24" s="150"/>
      <c r="K24" s="234"/>
      <c r="L24" s="254">
        <f t="shared" si="1"/>
        <v>0</v>
      </c>
      <c r="M24" s="369">
        <f t="shared" si="2"/>
        <v>0</v>
      </c>
      <c r="N24" s="346">
        <f t="shared" si="3"/>
        <v>0</v>
      </c>
      <c r="O24" s="346">
        <f t="shared" si="4"/>
        <v>0</v>
      </c>
      <c r="P24" s="370">
        <f t="shared" si="5"/>
        <v>0</v>
      </c>
      <c r="Q24" s="370">
        <f t="shared" si="6"/>
        <v>0</v>
      </c>
      <c r="R24" s="371">
        <f t="shared" si="7"/>
        <v>0</v>
      </c>
      <c r="S24" s="371">
        <f t="shared" si="8"/>
        <v>0</v>
      </c>
      <c r="T24" s="255">
        <f t="shared" si="9"/>
        <v>0</v>
      </c>
      <c r="U24" s="7"/>
      <c r="V24" s="7"/>
      <c r="W24" s="7"/>
      <c r="X24" s="7"/>
      <c r="Y24" s="7"/>
      <c r="Z24" s="7"/>
      <c r="AA24" s="7"/>
      <c r="AB24" s="7"/>
      <c r="AC24" s="7"/>
      <c r="AD24" s="7"/>
      <c r="AE24" s="7"/>
      <c r="AF24" s="7"/>
      <c r="AG24" s="7"/>
      <c r="AH24" s="7"/>
      <c r="AI24" s="7"/>
      <c r="AJ24" s="7"/>
      <c r="AK24" s="7"/>
      <c r="AL24" s="7"/>
      <c r="AM24" s="7"/>
      <c r="AN24" s="7"/>
    </row>
    <row r="25" spans="1:40" s="6" customFormat="1" ht="14.25" customHeight="1">
      <c r="A25" s="7"/>
      <c r="B25" s="11"/>
      <c r="C25" s="71"/>
      <c r="D25" s="468"/>
      <c r="E25" s="469"/>
      <c r="F25" s="372"/>
      <c r="G25" s="372"/>
      <c r="H25" s="373"/>
      <c r="I25" s="379" t="str">
        <f t="shared" si="0"/>
        <v/>
      </c>
      <c r="J25" s="150"/>
      <c r="K25" s="234"/>
      <c r="L25" s="254">
        <f t="shared" si="1"/>
        <v>0</v>
      </c>
      <c r="M25" s="369">
        <f t="shared" si="2"/>
        <v>0</v>
      </c>
      <c r="N25" s="346">
        <f t="shared" si="3"/>
        <v>0</v>
      </c>
      <c r="O25" s="346">
        <f t="shared" si="4"/>
        <v>0</v>
      </c>
      <c r="P25" s="370">
        <f t="shared" si="5"/>
        <v>0</v>
      </c>
      <c r="Q25" s="370">
        <f t="shared" si="6"/>
        <v>0</v>
      </c>
      <c r="R25" s="371">
        <f t="shared" si="7"/>
        <v>0</v>
      </c>
      <c r="S25" s="371">
        <f t="shared" si="8"/>
        <v>0</v>
      </c>
      <c r="T25" s="255">
        <f t="shared" si="9"/>
        <v>0</v>
      </c>
      <c r="U25" s="7"/>
      <c r="V25" s="7"/>
      <c r="W25" s="7"/>
      <c r="X25" s="7"/>
      <c r="Y25" s="7"/>
      <c r="Z25" s="7"/>
      <c r="AA25" s="7"/>
      <c r="AB25" s="7"/>
      <c r="AC25" s="7"/>
      <c r="AD25" s="7"/>
      <c r="AE25" s="7"/>
      <c r="AF25" s="7"/>
      <c r="AG25" s="7"/>
      <c r="AH25" s="7"/>
      <c r="AI25" s="7"/>
      <c r="AJ25" s="7"/>
      <c r="AK25" s="7"/>
      <c r="AL25" s="7"/>
      <c r="AM25" s="7"/>
      <c r="AN25" s="7"/>
    </row>
    <row r="26" spans="1:40" s="6" customFormat="1" ht="14.25" customHeight="1">
      <c r="A26" s="7"/>
      <c r="B26" s="11"/>
      <c r="C26" s="71"/>
      <c r="D26" s="468"/>
      <c r="E26" s="469"/>
      <c r="F26" s="372"/>
      <c r="G26" s="372"/>
      <c r="H26" s="373"/>
      <c r="I26" s="379" t="str">
        <f t="shared" si="0"/>
        <v/>
      </c>
      <c r="J26" s="150"/>
      <c r="K26" s="234"/>
      <c r="L26" s="254">
        <f t="shared" si="1"/>
        <v>0</v>
      </c>
      <c r="M26" s="369">
        <f t="shared" si="2"/>
        <v>0</v>
      </c>
      <c r="N26" s="346">
        <f t="shared" si="3"/>
        <v>0</v>
      </c>
      <c r="O26" s="346">
        <f t="shared" si="4"/>
        <v>0</v>
      </c>
      <c r="P26" s="370">
        <f t="shared" si="5"/>
        <v>0</v>
      </c>
      <c r="Q26" s="370">
        <f t="shared" si="6"/>
        <v>0</v>
      </c>
      <c r="R26" s="371">
        <f t="shared" si="7"/>
        <v>0</v>
      </c>
      <c r="S26" s="371">
        <f t="shared" si="8"/>
        <v>0</v>
      </c>
      <c r="T26" s="255">
        <f t="shared" si="9"/>
        <v>0</v>
      </c>
      <c r="U26" s="7"/>
      <c r="V26" s="7"/>
      <c r="W26" s="7"/>
      <c r="X26" s="7"/>
      <c r="Y26" s="7"/>
      <c r="Z26" s="7"/>
      <c r="AA26" s="7"/>
      <c r="AB26" s="7"/>
      <c r="AC26" s="7"/>
      <c r="AD26" s="7"/>
      <c r="AE26" s="7"/>
      <c r="AF26" s="7"/>
      <c r="AG26" s="7"/>
      <c r="AH26" s="7"/>
      <c r="AI26" s="7"/>
      <c r="AJ26" s="7"/>
      <c r="AK26" s="7"/>
      <c r="AL26" s="7"/>
      <c r="AM26" s="7"/>
      <c r="AN26" s="7"/>
    </row>
    <row r="27" spans="1:40" s="6" customFormat="1" ht="14.25" customHeight="1" thickBot="1">
      <c r="A27" s="7"/>
      <c r="B27" s="11"/>
      <c r="C27" s="71"/>
      <c r="D27" s="468"/>
      <c r="E27" s="469"/>
      <c r="F27" s="372"/>
      <c r="G27" s="372"/>
      <c r="H27" s="373"/>
      <c r="I27" s="379" t="str">
        <f t="shared" si="0"/>
        <v/>
      </c>
      <c r="J27" s="150"/>
      <c r="K27" s="234"/>
      <c r="L27" s="256">
        <f t="shared" si="1"/>
        <v>0</v>
      </c>
      <c r="M27" s="257">
        <f t="shared" si="2"/>
        <v>0</v>
      </c>
      <c r="N27" s="347">
        <f t="shared" si="3"/>
        <v>0</v>
      </c>
      <c r="O27" s="347">
        <f t="shared" si="4"/>
        <v>0</v>
      </c>
      <c r="P27" s="247">
        <f t="shared" si="5"/>
        <v>0</v>
      </c>
      <c r="Q27" s="247">
        <f t="shared" si="6"/>
        <v>0</v>
      </c>
      <c r="R27" s="245">
        <f t="shared" si="7"/>
        <v>0</v>
      </c>
      <c r="S27" s="245">
        <f t="shared" si="8"/>
        <v>0</v>
      </c>
      <c r="T27" s="258">
        <f t="shared" si="9"/>
        <v>0</v>
      </c>
      <c r="U27" s="7"/>
      <c r="V27" s="7"/>
      <c r="W27" s="7"/>
      <c r="X27" s="7"/>
      <c r="Y27" s="7"/>
      <c r="Z27" s="7"/>
      <c r="AA27" s="7"/>
      <c r="AB27" s="7"/>
      <c r="AC27" s="7"/>
      <c r="AD27" s="7"/>
      <c r="AE27" s="7"/>
      <c r="AF27" s="7"/>
      <c r="AG27" s="7"/>
      <c r="AH27" s="7"/>
      <c r="AI27" s="7"/>
      <c r="AJ27" s="7"/>
      <c r="AK27" s="7"/>
      <c r="AL27" s="7"/>
      <c r="AM27" s="7"/>
      <c r="AN27" s="7"/>
    </row>
    <row r="28" spans="1:40" s="6" customFormat="1" ht="14.25" customHeight="1" thickBot="1">
      <c r="A28" s="7"/>
      <c r="B28" s="11"/>
      <c r="C28" s="71"/>
      <c r="D28" s="382" t="str">
        <f>IF(OR(H28&gt;D13*1.1,H28&lt;D13/1.1),"Gewicht Zusammensetzung prüfen: Abweichung &gt;10%",DeklGewichtOK)</f>
        <v>Deklariertes Gesamtgewicht OK</v>
      </c>
      <c r="E28" s="147"/>
      <c r="F28" s="71"/>
      <c r="G28" s="71"/>
      <c r="H28" s="260">
        <f>SUMIF(I$16:I$27,"kg",H$16:H$27)</f>
        <v>0</v>
      </c>
      <c r="I28" s="379" t="s">
        <v>31</v>
      </c>
      <c r="J28" s="150"/>
      <c r="K28" s="239" t="s">
        <v>165</v>
      </c>
      <c r="L28" s="420" t="s">
        <v>160</v>
      </c>
      <c r="M28" s="421"/>
      <c r="N28" s="421" t="s">
        <v>161</v>
      </c>
      <c r="O28" s="421"/>
      <c r="P28" s="421" t="s">
        <v>161</v>
      </c>
      <c r="Q28" s="421"/>
      <c r="R28" s="421" t="s">
        <v>162</v>
      </c>
      <c r="S28" s="421"/>
      <c r="T28" s="421" t="s">
        <v>401</v>
      </c>
      <c r="U28" s="7"/>
      <c r="V28" s="7"/>
      <c r="W28" s="7"/>
      <c r="X28" s="7"/>
      <c r="Y28" s="7"/>
      <c r="Z28" s="7"/>
      <c r="AA28" s="7"/>
      <c r="AB28" s="7"/>
      <c r="AC28" s="7"/>
      <c r="AD28" s="7"/>
      <c r="AE28" s="7"/>
      <c r="AF28" s="7"/>
      <c r="AG28" s="7"/>
      <c r="AH28" s="7"/>
      <c r="AI28" s="7"/>
      <c r="AJ28" s="7"/>
      <c r="AK28" s="7"/>
      <c r="AL28" s="7"/>
      <c r="AM28" s="7"/>
      <c r="AN28" s="7"/>
    </row>
    <row r="29" spans="1:40" s="6" customFormat="1" ht="14.25" customHeight="1">
      <c r="A29" s="7"/>
      <c r="B29" s="348"/>
      <c r="C29" s="447"/>
      <c r="D29" s="448" t="s">
        <v>56</v>
      </c>
      <c r="E29" s="449"/>
      <c r="F29" s="448" t="s">
        <v>415</v>
      </c>
      <c r="G29" s="448"/>
      <c r="H29" s="450" t="s">
        <v>414</v>
      </c>
      <c r="I29" s="448" t="s">
        <v>158</v>
      </c>
      <c r="J29" s="150"/>
      <c r="K29" s="342"/>
      <c r="L29" s="237"/>
      <c r="M29" s="343"/>
      <c r="N29" s="343"/>
      <c r="O29" s="343"/>
      <c r="P29" s="343"/>
      <c r="Q29" s="343"/>
      <c r="R29" s="343"/>
      <c r="S29" s="343"/>
      <c r="T29" s="343"/>
      <c r="U29" s="7"/>
      <c r="V29" s="7"/>
      <c r="W29" s="7"/>
      <c r="X29" s="7"/>
      <c r="Y29" s="7"/>
      <c r="Z29" s="7"/>
      <c r="AA29" s="7"/>
      <c r="AB29" s="7"/>
      <c r="AC29" s="7"/>
      <c r="AD29" s="7"/>
      <c r="AE29" s="7"/>
      <c r="AF29" s="7"/>
      <c r="AG29" s="7"/>
      <c r="AH29" s="7"/>
      <c r="AI29" s="7"/>
      <c r="AJ29" s="7"/>
      <c r="AK29" s="7"/>
      <c r="AL29" s="7"/>
      <c r="AM29" s="7"/>
      <c r="AN29" s="7"/>
    </row>
    <row r="30" spans="1:40" s="6" customFormat="1" ht="14.25" customHeight="1">
      <c r="A30" s="7"/>
      <c r="B30" s="11"/>
      <c r="C30" s="10" t="s">
        <v>402</v>
      </c>
      <c r="D30" s="468"/>
      <c r="E30" s="469"/>
      <c r="F30" s="472"/>
      <c r="G30" s="473"/>
      <c r="H30" s="381"/>
      <c r="I30" s="379" t="str">
        <f>IF(ISBLANK(H30),"","km")</f>
        <v/>
      </c>
      <c r="J30" s="150"/>
      <c r="K30" s="234"/>
      <c r="L30" s="254">
        <f>IFERROR(VLOOKUP($F30,MxTransporte,4,FALSE)*$H30*($H$28/1000)*$H$13,0)</f>
        <v>0</v>
      </c>
      <c r="M30" s="10"/>
      <c r="N30" s="246">
        <f>IFERROR(VLOOKUP($F30,MxTransporte,12,FALSE)*$H30*($H$28/1000)*$H$13,0)</f>
        <v>0</v>
      </c>
      <c r="O30" s="10"/>
      <c r="P30" s="246">
        <f>IFERROR(VLOOKUP($F30,MxTransporte,16,FALSE)*$H30*($H$28/1000)*$H$13,0)</f>
        <v>0</v>
      </c>
      <c r="Q30" s="10"/>
      <c r="R30" s="244">
        <f>IFERROR(VLOOKUP($F30,MxTransporte,20,FALSE)*$H30*($H$28/1000)*$H$13,0)</f>
        <v>0</v>
      </c>
      <c r="S30" s="10"/>
      <c r="T30" s="10"/>
      <c r="U30" s="7"/>
      <c r="V30" s="7"/>
      <c r="W30" s="7"/>
      <c r="X30" s="7"/>
      <c r="Y30" s="7"/>
      <c r="Z30" s="7"/>
      <c r="AA30" s="7"/>
      <c r="AB30" s="7"/>
      <c r="AC30" s="7"/>
      <c r="AD30" s="7"/>
      <c r="AE30" s="7"/>
      <c r="AF30" s="7"/>
      <c r="AG30" s="7"/>
      <c r="AH30" s="7"/>
      <c r="AI30" s="7"/>
      <c r="AJ30" s="7"/>
      <c r="AK30" s="7"/>
      <c r="AL30" s="7"/>
      <c r="AM30" s="7"/>
      <c r="AN30" s="7"/>
    </row>
    <row r="31" spans="1:40" s="6" customFormat="1" ht="14.25" customHeight="1">
      <c r="A31" s="7"/>
      <c r="B31" s="11"/>
      <c r="C31" s="145" t="s">
        <v>403</v>
      </c>
      <c r="D31" s="468"/>
      <c r="E31" s="469"/>
      <c r="F31" s="472"/>
      <c r="G31" s="473"/>
      <c r="H31" s="381"/>
      <c r="I31" s="379" t="str">
        <f t="shared" ref="I31:I32" si="10">IF(ISBLANK(H31),"","km")</f>
        <v/>
      </c>
      <c r="J31" s="150"/>
      <c r="K31" s="234"/>
      <c r="L31" s="254">
        <f>IFERROR(VLOOKUP($F31,MxTransporte,4,FALSE)*$H31*($H$28/1000)*$H$13,0)</f>
        <v>0</v>
      </c>
      <c r="M31" s="10"/>
      <c r="N31" s="246">
        <f>IFERROR(VLOOKUP($F31,MxTransporte,12,FALSE)*$H31*($H$28/1000)*$H$13,0)</f>
        <v>0</v>
      </c>
      <c r="O31" s="10"/>
      <c r="P31" s="246">
        <f>IFERROR(VLOOKUP($F31,MxTransporte,16,FALSE)*$H31*($H$28/1000)*$H$13,0)</f>
        <v>0</v>
      </c>
      <c r="Q31" s="10"/>
      <c r="R31" s="244">
        <f>IFERROR(VLOOKUP($F31,MxTransporte,20,FALSE)*$H31*($H$28/1000)*$H$13,0)</f>
        <v>0</v>
      </c>
      <c r="S31" s="10"/>
      <c r="T31" s="10"/>
      <c r="U31" s="7"/>
      <c r="V31" s="7"/>
      <c r="W31" s="7"/>
      <c r="X31" s="7"/>
      <c r="Y31" s="7"/>
      <c r="Z31" s="7"/>
      <c r="AA31" s="7"/>
      <c r="AB31" s="7"/>
      <c r="AC31" s="7"/>
      <c r="AD31" s="7"/>
      <c r="AE31" s="7"/>
      <c r="AF31" s="7"/>
      <c r="AG31" s="7"/>
      <c r="AH31" s="7"/>
      <c r="AI31" s="7"/>
      <c r="AJ31" s="7"/>
      <c r="AK31" s="7"/>
      <c r="AL31" s="7"/>
      <c r="AM31" s="7"/>
      <c r="AN31" s="7"/>
    </row>
    <row r="32" spans="1:40" s="6" customFormat="1" ht="14.25" customHeight="1" thickBot="1">
      <c r="A32" s="7"/>
      <c r="B32" s="10"/>
      <c r="C32" s="10"/>
      <c r="D32" s="468"/>
      <c r="E32" s="469"/>
      <c r="F32" s="472"/>
      <c r="G32" s="473"/>
      <c r="H32" s="381"/>
      <c r="I32" s="379" t="str">
        <f t="shared" si="10"/>
        <v/>
      </c>
      <c r="J32" s="7"/>
      <c r="K32" s="234"/>
      <c r="L32" s="254">
        <f>IFERROR(VLOOKUP($F32,MxTransporte,4,FALSE)*$H32*($H$28/1000)*$H$13,0)</f>
        <v>0</v>
      </c>
      <c r="M32" s="10"/>
      <c r="N32" s="246">
        <f>IFERROR(VLOOKUP($F32,MxTransporte,12,FALSE)*$H32*($H$28/1000)*$H$13,0)</f>
        <v>0</v>
      </c>
      <c r="O32" s="10"/>
      <c r="P32" s="246">
        <f>IFERROR(VLOOKUP($F32,MxTransporte,16,FALSE)*$H32*($H$28/1000)*$H$13,0)</f>
        <v>0</v>
      </c>
      <c r="Q32" s="10"/>
      <c r="R32" s="244">
        <f>IFERROR(VLOOKUP($F32,MxTransporte,20,FALSE)*$H32*($H$28/1000)*$H$13,0)</f>
        <v>0</v>
      </c>
      <c r="S32" s="10"/>
      <c r="T32" s="10"/>
      <c r="U32" s="7"/>
      <c r="V32" s="7"/>
      <c r="W32" s="7"/>
      <c r="X32" s="7"/>
      <c r="Y32" s="7"/>
      <c r="Z32" s="7"/>
      <c r="AA32" s="7"/>
      <c r="AB32" s="7"/>
      <c r="AC32" s="7"/>
      <c r="AD32" s="7"/>
      <c r="AE32" s="7"/>
      <c r="AF32" s="7"/>
      <c r="AG32" s="7"/>
      <c r="AH32" s="7"/>
      <c r="AI32" s="7"/>
      <c r="AJ32" s="7"/>
      <c r="AK32" s="7"/>
      <c r="AL32" s="7"/>
      <c r="AM32" s="7"/>
      <c r="AN32" s="7"/>
    </row>
    <row r="33" spans="1:40" s="6" customFormat="1" ht="13.5" customHeight="1" thickBot="1">
      <c r="A33" s="7"/>
      <c r="B33" s="171"/>
      <c r="C33" s="171"/>
      <c r="D33" s="171"/>
      <c r="E33" s="171"/>
      <c r="F33" s="171"/>
      <c r="G33" s="171"/>
      <c r="H33" s="171"/>
      <c r="I33" s="171"/>
      <c r="J33" s="7"/>
      <c r="K33" s="234"/>
      <c r="L33" s="433">
        <f>IF($T$33=TRUE,Konstanten!C$36*$H28/1000*DefTransD,SUM(L30:L32))</f>
        <v>0</v>
      </c>
      <c r="M33" s="434"/>
      <c r="N33" s="435">
        <f>IF($T$33=TRUE,Konstanten!D$36*$H28/1000*DefTransD,SUM(N30:N32))</f>
        <v>0</v>
      </c>
      <c r="O33" s="435"/>
      <c r="P33" s="435">
        <f>IF($T$33=TRUE,Konstanten!E$36*$H28/1000*DefTransD,SUM(P30:P32))</f>
        <v>0</v>
      </c>
      <c r="Q33" s="435"/>
      <c r="R33" s="435">
        <f>IF($T$33=TRUE,Konstanten!F$36*$H28/1000*DefTransD,SUM(R30:R32))</f>
        <v>0</v>
      </c>
      <c r="S33" s="434"/>
      <c r="T33" s="442" t="b">
        <v>1</v>
      </c>
      <c r="U33" s="7"/>
      <c r="V33" s="7"/>
      <c r="W33" s="7"/>
      <c r="X33" s="7"/>
      <c r="Y33" s="7"/>
      <c r="Z33" s="7"/>
      <c r="AA33" s="7"/>
      <c r="AB33" s="7"/>
      <c r="AC33" s="7"/>
      <c r="AD33" s="7"/>
      <c r="AE33" s="7"/>
      <c r="AF33" s="7"/>
      <c r="AG33" s="7"/>
      <c r="AH33" s="7"/>
      <c r="AI33" s="7"/>
      <c r="AJ33" s="7"/>
      <c r="AK33" s="7"/>
      <c r="AL33" s="7"/>
      <c r="AM33" s="7"/>
      <c r="AN33" s="7"/>
    </row>
    <row r="34" spans="1:40" s="6" customFormat="1" ht="14.25" customHeight="1" thickBot="1">
      <c r="A34" s="7"/>
      <c r="B34" s="300"/>
      <c r="C34" s="300"/>
      <c r="D34" s="374" t="s">
        <v>56</v>
      </c>
      <c r="E34" s="374"/>
      <c r="F34" s="374" t="s">
        <v>325</v>
      </c>
      <c r="G34" s="374"/>
      <c r="H34" s="375" t="s">
        <v>324</v>
      </c>
      <c r="I34" s="374" t="s">
        <v>158</v>
      </c>
      <c r="J34" s="7"/>
      <c r="K34" s="239" t="s">
        <v>238</v>
      </c>
      <c r="L34" s="420" t="s">
        <v>160</v>
      </c>
      <c r="M34" s="421"/>
      <c r="N34" s="421" t="s">
        <v>161</v>
      </c>
      <c r="O34" s="421"/>
      <c r="P34" s="421" t="s">
        <v>161</v>
      </c>
      <c r="Q34" s="421"/>
      <c r="R34" s="421" t="s">
        <v>162</v>
      </c>
      <c r="S34" s="421"/>
      <c r="T34" s="421" t="s">
        <v>328</v>
      </c>
      <c r="U34" s="7"/>
      <c r="V34" s="7"/>
      <c r="W34" s="7"/>
      <c r="X34" s="7"/>
      <c r="Y34" s="7"/>
      <c r="Z34" s="7"/>
      <c r="AA34" s="7"/>
      <c r="AB34" s="7"/>
      <c r="AC34" s="7"/>
      <c r="AD34" s="7"/>
      <c r="AE34" s="7"/>
      <c r="AF34" s="7"/>
      <c r="AG34" s="7"/>
      <c r="AH34" s="7"/>
      <c r="AI34" s="7"/>
      <c r="AJ34" s="7"/>
      <c r="AK34" s="7"/>
      <c r="AL34" s="7"/>
      <c r="AM34" s="7"/>
      <c r="AN34" s="7"/>
    </row>
    <row r="35" spans="1:40" s="6" customFormat="1" ht="13.5" customHeight="1">
      <c r="A35" s="7"/>
      <c r="B35" s="300"/>
      <c r="C35" s="305" t="s">
        <v>336</v>
      </c>
      <c r="D35" s="468"/>
      <c r="E35" s="469"/>
      <c r="F35" s="472"/>
      <c r="G35" s="473"/>
      <c r="H35" s="376"/>
      <c r="I35" s="379" t="str">
        <f>IF(ISBLANK(H35),"","kWh")</f>
        <v/>
      </c>
      <c r="J35" s="7"/>
      <c r="K35" s="342" t="s">
        <v>355</v>
      </c>
      <c r="L35" s="254">
        <f>IFERROR(VLOOKUP($F35,MxEnergieS,4,FALSE)*($H35/$H$38)*$D$13*Anzahl*$P$45,0)</f>
        <v>0</v>
      </c>
      <c r="M35" s="369"/>
      <c r="N35" s="418">
        <f>IFERROR(VLOOKUP($F35,MxEnergieS,6,FALSE)*($H35/$H$38)*$D$13*Anzahl*$P$45,0)</f>
        <v>0</v>
      </c>
      <c r="O35" s="369"/>
      <c r="P35" s="418">
        <f>IFERROR(VLOOKUP($F35,MxEnergieS,7,FALSE)*($H35/$H$38)*$D$13*Anzahl*$P$45,0)</f>
        <v>0</v>
      </c>
      <c r="Q35" s="369"/>
      <c r="R35" s="419">
        <f>IFERROR(VLOOKUP($F35,MxEnergieS,9,FALSE)*($H35/$H$38)*$D$13*Anzahl*$P$45,0)</f>
        <v>0</v>
      </c>
      <c r="S35" s="343"/>
      <c r="T35" s="10"/>
      <c r="U35" s="7"/>
      <c r="V35" s="7"/>
      <c r="W35" s="7"/>
      <c r="X35" s="7"/>
      <c r="Y35" s="7"/>
      <c r="Z35" s="7"/>
      <c r="AA35" s="7"/>
      <c r="AB35" s="7"/>
      <c r="AC35" s="7"/>
      <c r="AD35" s="7"/>
      <c r="AE35" s="7"/>
      <c r="AF35" s="7"/>
      <c r="AG35" s="7"/>
      <c r="AH35" s="7"/>
      <c r="AI35" s="7"/>
      <c r="AJ35" s="7"/>
      <c r="AK35" s="7"/>
      <c r="AL35" s="7"/>
      <c r="AM35" s="7"/>
      <c r="AN35" s="7"/>
    </row>
    <row r="36" spans="1:40" s="6" customFormat="1" ht="13.5" customHeight="1">
      <c r="A36" s="7"/>
      <c r="B36" s="300"/>
      <c r="C36" s="300"/>
      <c r="D36" s="468"/>
      <c r="E36" s="469"/>
      <c r="F36" s="472"/>
      <c r="G36" s="473"/>
      <c r="H36" s="376"/>
      <c r="I36" s="379" t="str">
        <f t="shared" ref="I36:I37" si="11">IF(ISBLANK(H36),"","kWh")</f>
        <v/>
      </c>
      <c r="J36" s="7"/>
      <c r="K36" s="10"/>
      <c r="L36" s="254">
        <f>IFERROR(VLOOKUP($F36,MxEnergieS,4,FALSE)*($H36/$H$38)*$D$13*Anzahl*$P$45,0)</f>
        <v>0</v>
      </c>
      <c r="M36" s="369"/>
      <c r="N36" s="418">
        <f>IFERROR(VLOOKUP($F36,MxEnergieS,6,FALSE)*($H36/$H$38)*$D$13*Anzahl*$P$45,0)</f>
        <v>0</v>
      </c>
      <c r="O36" s="369"/>
      <c r="P36" s="418">
        <f>IFERROR(VLOOKUP($F36,MxEnergieS,7,FALSE)*($H36/$H$38)*$D$13*Anzahl*$P$45,0)</f>
        <v>0</v>
      </c>
      <c r="Q36" s="369"/>
      <c r="R36" s="419">
        <f>IFERROR(VLOOKUP($F36,MxEnergieS,9,FALSE)*($H36/$H$38)*$D$13*Anzahl*$P$45,0)</f>
        <v>0</v>
      </c>
      <c r="S36" s="343"/>
      <c r="T36" s="343"/>
      <c r="U36" s="7"/>
      <c r="V36" s="7"/>
      <c r="W36" s="7"/>
      <c r="X36" s="7"/>
      <c r="Y36" s="7"/>
      <c r="Z36" s="7"/>
      <c r="AA36" s="7"/>
      <c r="AB36" s="7"/>
      <c r="AC36" s="7"/>
      <c r="AD36" s="7"/>
      <c r="AE36" s="7"/>
      <c r="AF36" s="7"/>
      <c r="AG36" s="7"/>
      <c r="AH36" s="7"/>
      <c r="AI36" s="7"/>
      <c r="AJ36" s="7"/>
      <c r="AK36" s="7"/>
      <c r="AL36" s="7"/>
      <c r="AM36" s="7"/>
      <c r="AN36" s="7"/>
    </row>
    <row r="37" spans="1:40" s="6" customFormat="1" ht="13.5" customHeight="1" thickBot="1">
      <c r="A37" s="7"/>
      <c r="B37" s="300"/>
      <c r="C37" s="300"/>
      <c r="D37" s="468"/>
      <c r="E37" s="469"/>
      <c r="F37" s="472"/>
      <c r="G37" s="473"/>
      <c r="H37" s="376"/>
      <c r="I37" s="379" t="str">
        <f t="shared" si="11"/>
        <v/>
      </c>
      <c r="J37" s="7"/>
      <c r="K37" s="10"/>
      <c r="L37" s="254">
        <f>IFERROR(VLOOKUP($F37,MxEnergieS,4,FALSE)*($H37/$H$38)*$D$13*Anzahl*$P$45,0)</f>
        <v>0</v>
      </c>
      <c r="M37" s="369"/>
      <c r="N37" s="418">
        <f>IFERROR(VLOOKUP($F37,MxEnergieS,6,FALSE)*($H37/$H$38)*$D$13*Anzahl*$P$45,0)</f>
        <v>0</v>
      </c>
      <c r="O37" s="369"/>
      <c r="P37" s="418">
        <f>IFERROR(VLOOKUP($F37,MxEnergieS,7,FALSE)*($H37/$H$38)*$D$13*Anzahl*$P$45,0)</f>
        <v>0</v>
      </c>
      <c r="Q37" s="369"/>
      <c r="R37" s="419">
        <f>IFERROR(VLOOKUP($F37,MxEnergieS,9,FALSE)*($H37/$H$38)*$D$13*Anzahl*$P$45,0)</f>
        <v>0</v>
      </c>
      <c r="S37" s="343"/>
      <c r="T37" s="343"/>
      <c r="U37" s="7"/>
      <c r="V37" s="7"/>
      <c r="W37" s="7"/>
      <c r="X37" s="7"/>
      <c r="Y37" s="7"/>
      <c r="Z37" s="7"/>
      <c r="AA37" s="7"/>
      <c r="AB37" s="7"/>
      <c r="AC37" s="7"/>
      <c r="AD37" s="7"/>
      <c r="AE37" s="7"/>
      <c r="AF37" s="7"/>
      <c r="AG37" s="7"/>
      <c r="AH37" s="7"/>
      <c r="AI37" s="7"/>
      <c r="AJ37" s="7"/>
      <c r="AK37" s="7"/>
      <c r="AL37" s="7"/>
      <c r="AM37" s="7"/>
      <c r="AN37" s="7"/>
    </row>
    <row r="38" spans="1:40" s="6" customFormat="1" ht="13.5" customHeight="1" thickBot="1">
      <c r="A38" s="7"/>
      <c r="B38" s="300"/>
      <c r="C38" s="300"/>
      <c r="D38" s="352" t="str">
        <f>IF(T38=TRUE,"Übernahme Werte aus Blatt Start",IF(OR(H38&gt;1.01,H38&lt;0.99),DeklAnteilNotOK,DeklAnteilOK))</f>
        <v>Übernahme Werte aus Blatt Start</v>
      </c>
      <c r="E38" s="147"/>
      <c r="F38" s="300"/>
      <c r="G38" s="300"/>
      <c r="H38" s="383" t="str">
        <f>IF(T38=TRUE,"",SUM(H35:H37))</f>
        <v/>
      </c>
      <c r="I38" s="380"/>
      <c r="J38" s="7"/>
      <c r="K38" s="422"/>
      <c r="L38" s="426">
        <f>IF($T$38=TRUE,L$9*$P$45*$D$13*Anzahl,SUM(L$35:L$37))</f>
        <v>0</v>
      </c>
      <c r="M38" s="428"/>
      <c r="N38" s="427">
        <f>IF($T$38=TRUE,N$9*$P$45*$D$13*Anzahl,SUM(N$35:N$37))</f>
        <v>0</v>
      </c>
      <c r="O38" s="428"/>
      <c r="P38" s="427">
        <f>IF($T$38=TRUE,P$9*$P$45*$D$13*Anzahl,SUM(P$35:P$37))</f>
        <v>0</v>
      </c>
      <c r="Q38" s="428"/>
      <c r="R38" s="429">
        <f>IF($T$38=TRUE,R$9*$P$45*$D$13*Anzahl,SUM(R$35:R$37))</f>
        <v>0</v>
      </c>
      <c r="S38" s="421"/>
      <c r="T38" s="442" t="b">
        <v>1</v>
      </c>
      <c r="U38" s="7"/>
      <c r="V38" s="7"/>
      <c r="W38" s="7"/>
      <c r="X38" s="7"/>
      <c r="Y38" s="7"/>
      <c r="Z38" s="7"/>
      <c r="AA38" s="7"/>
      <c r="AB38" s="7"/>
      <c r="AC38" s="7"/>
      <c r="AD38" s="7"/>
      <c r="AE38" s="7"/>
      <c r="AF38" s="7"/>
      <c r="AG38" s="7"/>
      <c r="AH38" s="7"/>
      <c r="AI38" s="7"/>
      <c r="AJ38" s="7"/>
      <c r="AK38" s="7"/>
      <c r="AL38" s="7"/>
      <c r="AM38" s="7"/>
      <c r="AN38" s="7"/>
    </row>
    <row r="39" spans="1:40" s="6" customFormat="1" ht="13.5" customHeight="1">
      <c r="A39" s="7"/>
      <c r="B39" s="300"/>
      <c r="C39" s="305" t="s">
        <v>337</v>
      </c>
      <c r="D39" s="468"/>
      <c r="E39" s="469"/>
      <c r="F39" s="472"/>
      <c r="G39" s="473"/>
      <c r="H39" s="376"/>
      <c r="I39" s="379" t="str">
        <f>IF(ISBLANK(H39),"","kWh")</f>
        <v/>
      </c>
      <c r="J39" s="7"/>
      <c r="K39" s="239" t="s">
        <v>238</v>
      </c>
      <c r="L39" s="254">
        <f>IFERROR(VLOOKUP($F39,MxEnergieW,4,FALSE)*($H39/$H$42)*$D$13*Anzahl*$R$45,0)</f>
        <v>0</v>
      </c>
      <c r="M39" s="343"/>
      <c r="N39" s="423">
        <f>IFERROR(VLOOKUP($F39,MxEnergieW,6,FALSE)*($H39/$H$42)*$D$13*Anzahl*$R$45,0)</f>
        <v>0</v>
      </c>
      <c r="O39" s="424"/>
      <c r="P39" s="423">
        <f>IFERROR(VLOOKUP($F39,MxEnergieW,7,FALSE)*($H39/$H$42)*$D$13*Anzahl*$R$45,0)</f>
        <v>0</v>
      </c>
      <c r="Q39" s="343"/>
      <c r="R39" s="425">
        <f>IFERROR(VLOOKUP($F39,MxEnergieW,9,FALSE)*($H39/$H$42)*$D$13*Anzahl*$R$45,0)</f>
        <v>0</v>
      </c>
      <c r="S39" s="343"/>
      <c r="T39" s="10"/>
      <c r="U39" s="7"/>
      <c r="V39" s="7"/>
      <c r="W39" s="7"/>
      <c r="X39" s="7"/>
      <c r="Y39" s="7"/>
      <c r="Z39" s="7"/>
      <c r="AA39" s="7"/>
      <c r="AB39" s="7"/>
      <c r="AC39" s="7"/>
      <c r="AD39" s="7"/>
      <c r="AE39" s="7"/>
      <c r="AF39" s="7"/>
      <c r="AG39" s="7"/>
      <c r="AH39" s="7"/>
      <c r="AI39" s="7"/>
      <c r="AJ39" s="7"/>
      <c r="AK39" s="7"/>
      <c r="AL39" s="7"/>
      <c r="AM39" s="7"/>
      <c r="AN39" s="7"/>
    </row>
    <row r="40" spans="1:40" s="6" customFormat="1" ht="13.5" customHeight="1">
      <c r="A40" s="7"/>
      <c r="B40" s="300"/>
      <c r="C40" s="300"/>
      <c r="D40" s="468"/>
      <c r="E40" s="469"/>
      <c r="F40" s="472"/>
      <c r="G40" s="473"/>
      <c r="H40" s="376"/>
      <c r="I40" s="379" t="str">
        <f t="shared" ref="I40:I41" si="12">IF(ISBLANK(H40),"","kWh")</f>
        <v/>
      </c>
      <c r="J40" s="7"/>
      <c r="K40" s="145" t="s">
        <v>356</v>
      </c>
      <c r="L40" s="254">
        <f>IFERROR(VLOOKUP($F40,MxEnergieW,4,FALSE)*($H40/$H$42)*$D$13*Anzahl*$R$45,0)</f>
        <v>0</v>
      </c>
      <c r="M40" s="343"/>
      <c r="N40" s="423">
        <f>IFERROR(VLOOKUP($F40,MxEnergieW,6,FALSE)*($H40/$H$42)*$D$13*Anzahl*$R$45,0)</f>
        <v>0</v>
      </c>
      <c r="O40" s="424"/>
      <c r="P40" s="423">
        <f>IFERROR(VLOOKUP($F40,MxEnergieW,7,FALSE)*($H40/$H$42)*$D$13*Anzahl*$R$45,0)</f>
        <v>0</v>
      </c>
      <c r="Q40" s="343"/>
      <c r="R40" s="425">
        <f>IFERROR(VLOOKUP($F40,MxEnergieW,9,FALSE)*($H40/$H$42)*$D$13*Anzahl*$R$45,0)</f>
        <v>0</v>
      </c>
      <c r="S40" s="343"/>
      <c r="T40" s="343"/>
      <c r="U40" s="7"/>
      <c r="V40" s="7"/>
      <c r="W40" s="7"/>
      <c r="X40" s="7"/>
      <c r="Y40" s="7"/>
      <c r="Z40" s="7"/>
      <c r="AA40" s="7"/>
      <c r="AB40" s="7"/>
      <c r="AC40" s="7"/>
      <c r="AD40" s="7"/>
      <c r="AE40" s="7"/>
      <c r="AF40" s="7"/>
      <c r="AG40" s="7"/>
      <c r="AH40" s="7"/>
      <c r="AI40" s="7"/>
      <c r="AJ40" s="7"/>
      <c r="AK40" s="7"/>
      <c r="AL40" s="7"/>
      <c r="AM40" s="7"/>
      <c r="AN40" s="7"/>
    </row>
    <row r="41" spans="1:40" s="6" customFormat="1" ht="13.5" customHeight="1" thickBot="1">
      <c r="A41" s="7"/>
      <c r="B41" s="300"/>
      <c r="C41" s="300"/>
      <c r="D41" s="468"/>
      <c r="E41" s="469"/>
      <c r="F41" s="472"/>
      <c r="G41" s="473"/>
      <c r="H41" s="376"/>
      <c r="I41" s="379" t="str">
        <f t="shared" si="12"/>
        <v/>
      </c>
      <c r="J41" s="7"/>
      <c r="K41" s="10"/>
      <c r="L41" s="254">
        <f>IFERROR(VLOOKUP($F41,MxEnergieW,4,FALSE)*($H41/$H$42)*$D$13*Anzahl*$R$45,0)</f>
        <v>0</v>
      </c>
      <c r="M41" s="343"/>
      <c r="N41" s="423">
        <f>IFERROR(VLOOKUP($F41,MxEnergieW,6,FALSE)*($H41/$H$42)*$D$13*Anzahl*$R$45,0)</f>
        <v>0</v>
      </c>
      <c r="O41" s="424"/>
      <c r="P41" s="423">
        <f>IFERROR(VLOOKUP($F41,MxEnergieW,7,FALSE)*($H41/$H$42)*$D$13*Anzahl*$R$45,0)</f>
        <v>0</v>
      </c>
      <c r="Q41" s="343"/>
      <c r="R41" s="425">
        <f>IFERROR(VLOOKUP($F41,MxEnergieW,9,FALSE)*($H41/$H$42)*$D$13*Anzahl*$R$45,0)</f>
        <v>0</v>
      </c>
      <c r="S41" s="343"/>
      <c r="T41" s="343"/>
      <c r="U41" s="7"/>
      <c r="V41" s="7"/>
      <c r="W41" s="7"/>
      <c r="X41" s="7"/>
      <c r="Y41" s="7"/>
      <c r="Z41" s="7"/>
      <c r="AA41" s="7"/>
      <c r="AB41" s="7"/>
      <c r="AC41" s="7"/>
      <c r="AD41" s="7"/>
      <c r="AE41" s="7"/>
      <c r="AF41" s="7"/>
      <c r="AG41" s="7"/>
      <c r="AH41" s="7"/>
      <c r="AI41" s="7"/>
      <c r="AJ41" s="7"/>
      <c r="AK41" s="7"/>
      <c r="AL41" s="7"/>
      <c r="AM41" s="7"/>
      <c r="AN41" s="7"/>
    </row>
    <row r="42" spans="1:40" s="6" customFormat="1" ht="13.5" customHeight="1" thickBot="1">
      <c r="A42" s="7"/>
      <c r="B42" s="300"/>
      <c r="C42" s="300"/>
      <c r="D42" s="352" t="str">
        <f>IF(T42=TRUE,"Übernahme Werte aus Blatt Start",IF(OR(H42&gt;1.01,H42&lt;0.99),DeklAnteilNotOK,DeklAnteilOK))</f>
        <v>Übernahme Werte aus Blatt Start</v>
      </c>
      <c r="E42" s="147"/>
      <c r="F42" s="300"/>
      <c r="G42" s="300"/>
      <c r="H42" s="383" t="str">
        <f>IF(T42=TRUE,"",SUM(H39:H41))</f>
        <v/>
      </c>
      <c r="I42" s="300"/>
      <c r="J42" s="7"/>
      <c r="K42" s="342"/>
      <c r="L42" s="426">
        <f>IF($T$42=TRUE,L$11*R45*D13*Anzahl,SUM(L$39:L$41))</f>
        <v>0</v>
      </c>
      <c r="M42" s="428"/>
      <c r="N42" s="427">
        <f>IF($T$42=TRUE,N$11*R45*D13*Anzahl,SUM(N$39:N$41))</f>
        <v>0</v>
      </c>
      <c r="O42" s="428"/>
      <c r="P42" s="427">
        <f>IF($T$42=TRUE,P$11*R45*D13*Anzahl,SUM(P$39:P$41))</f>
        <v>0</v>
      </c>
      <c r="Q42" s="428"/>
      <c r="R42" s="429">
        <f>IF($T$42=TRUE,R$11*R45*D13*Anzahl,SUM(R$39:R$41))</f>
        <v>0</v>
      </c>
      <c r="S42" s="241"/>
      <c r="T42" s="442" t="b">
        <v>1</v>
      </c>
      <c r="U42" s="7"/>
      <c r="V42" s="7"/>
      <c r="W42" s="7"/>
      <c r="X42" s="7"/>
      <c r="Y42" s="7"/>
      <c r="Z42" s="7"/>
      <c r="AA42" s="7"/>
      <c r="AB42" s="7"/>
      <c r="AC42" s="7"/>
      <c r="AD42" s="7"/>
      <c r="AE42" s="7"/>
      <c r="AF42" s="7"/>
      <c r="AG42" s="7"/>
      <c r="AH42" s="7"/>
      <c r="AI42" s="7"/>
      <c r="AJ42" s="7"/>
      <c r="AK42" s="7"/>
      <c r="AL42" s="7"/>
      <c r="AM42" s="7"/>
      <c r="AN42" s="7"/>
    </row>
    <row r="43" spans="1:40" s="340" customFormat="1" ht="18.75" customHeight="1">
      <c r="A43" s="336"/>
      <c r="B43" s="348"/>
      <c r="C43" s="349" t="s">
        <v>410</v>
      </c>
      <c r="D43" s="349"/>
      <c r="E43" s="349"/>
      <c r="F43" s="349"/>
      <c r="G43" s="349"/>
      <c r="H43" s="349"/>
      <c r="I43" s="349"/>
      <c r="J43" s="336"/>
      <c r="K43" s="350" t="s">
        <v>354</v>
      </c>
      <c r="L43" s="385"/>
      <c r="M43" s="349"/>
      <c r="N43" s="349"/>
      <c r="O43" s="349"/>
      <c r="P43" s="349"/>
      <c r="Q43" s="349"/>
      <c r="R43" s="349"/>
      <c r="S43" s="349"/>
      <c r="T43" s="10"/>
      <c r="U43" s="7"/>
      <c r="V43" s="336"/>
      <c r="W43" s="336"/>
      <c r="X43" s="336"/>
      <c r="Y43" s="336"/>
      <c r="Z43" s="336"/>
      <c r="AA43" s="336"/>
      <c r="AB43" s="336"/>
      <c r="AC43" s="336"/>
      <c r="AD43" s="336"/>
      <c r="AE43" s="336"/>
      <c r="AF43" s="336"/>
      <c r="AG43" s="336"/>
      <c r="AH43" s="336"/>
      <c r="AI43" s="336"/>
      <c r="AJ43" s="336"/>
      <c r="AK43" s="336"/>
      <c r="AL43" s="336"/>
      <c r="AM43" s="336"/>
      <c r="AN43" s="336"/>
    </row>
    <row r="44" spans="1:40" s="6" customFormat="1" ht="14.25" customHeight="1">
      <c r="A44" s="7"/>
      <c r="B44" s="11"/>
      <c r="C44" s="10" t="s">
        <v>411</v>
      </c>
      <c r="D44" s="267" t="s">
        <v>417</v>
      </c>
      <c r="E44" s="10"/>
      <c r="F44" s="10" t="s">
        <v>233</v>
      </c>
      <c r="G44" s="10" t="s">
        <v>234</v>
      </c>
      <c r="H44" s="10"/>
      <c r="I44" s="10"/>
      <c r="J44" s="7"/>
      <c r="K44" s="304"/>
      <c r="L44" s="243"/>
      <c r="M44" s="304"/>
      <c r="N44" s="304"/>
      <c r="O44" s="304"/>
      <c r="P44" s="304"/>
      <c r="Q44" s="304"/>
      <c r="R44" s="304"/>
      <c r="S44" s="304"/>
      <c r="T44" s="304"/>
      <c r="U44" s="336"/>
      <c r="V44" s="7"/>
      <c r="W44" s="7"/>
      <c r="X44" s="7"/>
      <c r="Y44" s="7"/>
      <c r="Z44" s="7"/>
      <c r="AA44" s="7"/>
      <c r="AB44" s="7"/>
      <c r="AC44" s="7"/>
      <c r="AD44" s="7"/>
      <c r="AE44" s="7"/>
      <c r="AF44" s="7"/>
      <c r="AG44" s="7"/>
      <c r="AH44" s="7"/>
      <c r="AI44" s="7"/>
      <c r="AJ44" s="7"/>
      <c r="AK44" s="7"/>
      <c r="AL44" s="7"/>
      <c r="AM44" s="7"/>
      <c r="AN44" s="7"/>
    </row>
    <row r="45" spans="1:40" s="6" customFormat="1" ht="18" customHeight="1">
      <c r="A45" s="7"/>
      <c r="B45" s="11"/>
      <c r="C45" s="267"/>
      <c r="D45" s="295"/>
      <c r="E45" s="10"/>
      <c r="F45" s="351"/>
      <c r="G45" s="351"/>
      <c r="H45" s="10"/>
      <c r="I45" s="10"/>
      <c r="J45" s="7"/>
      <c r="K45" s="304"/>
      <c r="L45" s="386" t="s">
        <v>353</v>
      </c>
      <c r="M45" s="304">
        <f>IF(T45=TRUE,DefMatEffS,IF(OR(Produkt_4!MatEffG&lt;GWUMatEff,Produkt_4!MatEffG&gt;GWOMatEff),DefMatEff,Produkt_4!MatEffG))</f>
        <v>0.8</v>
      </c>
      <c r="N45" s="304"/>
      <c r="O45" s="304" t="s">
        <v>233</v>
      </c>
      <c r="P45" s="344">
        <f>IF(T45=TRUE,DefEnStromS,IF(OR(Produkt_4!EnStromG&lt;GWUEnStrom,Produkt_4!EnStromG&gt;GWOEnStrom),DefEnStrom,Produkt_4!EnStromG))</f>
        <v>0.8</v>
      </c>
      <c r="Q45" s="304" t="s">
        <v>234</v>
      </c>
      <c r="R45" s="432">
        <f>IF(T45=TRUE,DefEnWaermeS,IF(OR(Produkt_4!EnWaermeG&lt;GWUEnWaerme,Produkt_4!EnWaermeG&gt;GWOEnWaerme),DefEnWaerme,Produkt_4!EnWaermeG))</f>
        <v>1.4</v>
      </c>
      <c r="S45" s="304"/>
      <c r="T45" s="443" t="b">
        <v>1</v>
      </c>
      <c r="U45" s="7"/>
      <c r="V45" s="7"/>
      <c r="W45" s="7"/>
      <c r="X45" s="7"/>
      <c r="Y45" s="7"/>
      <c r="Z45" s="7"/>
      <c r="AA45" s="7"/>
      <c r="AB45" s="7"/>
      <c r="AC45" s="7"/>
      <c r="AD45" s="7"/>
      <c r="AE45" s="7"/>
      <c r="AF45" s="7"/>
      <c r="AG45" s="7"/>
      <c r="AH45" s="7"/>
      <c r="AI45" s="7"/>
      <c r="AJ45" s="7"/>
      <c r="AK45" s="7"/>
      <c r="AL45" s="7"/>
      <c r="AM45" s="7"/>
      <c r="AN45" s="7"/>
    </row>
    <row r="46" spans="1:40" s="6" customFormat="1" ht="56.25" customHeight="1">
      <c r="A46" s="7"/>
      <c r="B46" s="11"/>
      <c r="C46" s="267"/>
      <c r="D46" s="470" t="str">
        <f>IF($T$45=TRUE,"Übernahme Werte aus Blatt Start",IF(OR($D$45&lt;GWUMatEff,$D$45&gt;GWOMatEff),DeklMatEffNotOK,DeklAnteilOK))</f>
        <v>Übernahme Werte aus Blatt Start</v>
      </c>
      <c r="E46" s="470"/>
      <c r="F46" s="353" t="str">
        <f>IF($T$45=TRUE,"Übernahme Werte aus Blatt Start",IF(OR($F$45&lt;GWUEnStrom,$F$45&gt;GWOEnStrom),DeklEnEinsatzNotOK,DeklAnteilOK))</f>
        <v>Übernahme Werte aus Blatt Start</v>
      </c>
      <c r="G46" s="353" t="str">
        <f>IF($T$45=TRUE,"Übernahme Werte aus Blatt Start",IF(OR($G$45&lt;GWUEnWaerme,$G$45&gt;GWOEnWaerme),DeklEnEinsatzNotOK,DeklAnteilOK))</f>
        <v>Übernahme Werte aus Blatt Start</v>
      </c>
      <c r="H46" s="11"/>
      <c r="I46" s="10"/>
      <c r="J46" s="7"/>
      <c r="K46" s="304"/>
      <c r="L46" s="386"/>
      <c r="M46" s="304"/>
      <c r="N46" s="304"/>
      <c r="O46" s="304"/>
      <c r="P46" s="304"/>
      <c r="Q46" s="304"/>
      <c r="R46" s="304"/>
      <c r="S46" s="304"/>
      <c r="T46" s="304"/>
      <c r="U46" s="7"/>
      <c r="V46" s="7"/>
      <c r="W46" s="7"/>
      <c r="X46" s="7"/>
      <c r="Y46" s="7"/>
      <c r="Z46" s="7"/>
      <c r="AA46" s="7"/>
      <c r="AB46" s="7"/>
      <c r="AC46" s="7"/>
      <c r="AD46" s="7"/>
      <c r="AE46" s="7"/>
      <c r="AF46" s="7"/>
      <c r="AG46" s="7"/>
      <c r="AH46" s="7"/>
      <c r="AI46" s="7"/>
      <c r="AJ46" s="7"/>
      <c r="AK46" s="7"/>
      <c r="AL46" s="7"/>
      <c r="AM46" s="7"/>
      <c r="AN46" s="7"/>
    </row>
    <row r="47" spans="1:40" s="6" customFormat="1" ht="15.75" customHeight="1">
      <c r="A47" s="7"/>
      <c r="B47" s="11"/>
      <c r="C47" s="267"/>
      <c r="D47" s="470" t="str">
        <f>IF(OR(D46=DeklAnteilOK,$T$45=TRUE),"","Eingesetzter Wert: "&amp;DefMatEff*100&amp;" %")</f>
        <v/>
      </c>
      <c r="E47" s="470"/>
      <c r="F47" s="353" t="str">
        <f>IF(F46=DeklEnEinsatzNotOK,"Eingesetzter Wert: "&amp;DefEnStrom&amp;" kWh/kg","")</f>
        <v/>
      </c>
      <c r="G47" s="353" t="str">
        <f>IF(G46=DeklEnEinsatzNotOK,"Eingesetzter Wert: "&amp;DefEnWaerme&amp;" kWh/kg","")</f>
        <v/>
      </c>
      <c r="H47" s="11"/>
      <c r="I47" s="10"/>
      <c r="J47" s="7"/>
      <c r="K47" s="304"/>
      <c r="L47" s="305"/>
      <c r="M47" s="304"/>
      <c r="N47" s="304"/>
      <c r="O47" s="304"/>
      <c r="P47" s="304"/>
      <c r="Q47" s="304"/>
      <c r="R47" s="304"/>
      <c r="S47" s="304"/>
      <c r="T47" s="304"/>
      <c r="U47" s="7"/>
      <c r="V47" s="7"/>
      <c r="W47" s="7"/>
      <c r="X47" s="7"/>
      <c r="Y47" s="7"/>
      <c r="Z47" s="7"/>
      <c r="AA47" s="7"/>
      <c r="AB47" s="7"/>
      <c r="AC47" s="7"/>
      <c r="AD47" s="7"/>
      <c r="AE47" s="7"/>
      <c r="AF47" s="7"/>
      <c r="AG47" s="7"/>
      <c r="AH47" s="7"/>
      <c r="AI47" s="7"/>
      <c r="AJ47" s="7"/>
      <c r="AK47" s="7"/>
      <c r="AL47" s="7"/>
      <c r="AM47" s="7"/>
      <c r="AN47" s="7"/>
    </row>
    <row r="48" spans="1:40" s="341" customFormat="1" ht="4.5" customHeight="1">
      <c r="B48" s="299"/>
      <c r="C48" s="303"/>
      <c r="D48" s="377"/>
      <c r="E48" s="377"/>
      <c r="F48" s="377"/>
      <c r="G48" s="377"/>
      <c r="H48" s="299"/>
      <c r="K48" s="378"/>
      <c r="L48" s="378"/>
      <c r="M48" s="378"/>
      <c r="N48" s="378"/>
      <c r="O48" s="378"/>
      <c r="P48" s="378"/>
      <c r="Q48" s="378"/>
      <c r="R48" s="378"/>
      <c r="S48" s="378"/>
      <c r="T48" s="378"/>
      <c r="U48" s="7"/>
    </row>
    <row r="49" spans="1:40" s="6" customFormat="1" ht="9.75" customHeight="1">
      <c r="A49" s="7"/>
      <c r="B49" s="151"/>
      <c r="C49" s="151"/>
      <c r="D49" s="151"/>
      <c r="E49" s="151"/>
      <c r="F49" s="151"/>
      <c r="G49" s="151"/>
      <c r="H49" s="151"/>
      <c r="I49" s="151"/>
      <c r="J49" s="7"/>
      <c r="K49" s="358"/>
      <c r="L49" s="359"/>
      <c r="M49" s="341"/>
      <c r="N49" s="341"/>
      <c r="O49" s="341"/>
      <c r="P49" s="360"/>
      <c r="Q49" s="341"/>
      <c r="R49" s="361"/>
      <c r="S49" s="358"/>
      <c r="T49" s="358"/>
      <c r="U49" s="341"/>
      <c r="V49" s="7"/>
      <c r="W49" s="7"/>
      <c r="X49" s="7"/>
      <c r="Y49" s="7"/>
      <c r="Z49" s="7"/>
      <c r="AA49" s="7"/>
      <c r="AB49" s="7"/>
      <c r="AC49" s="7"/>
      <c r="AD49" s="7"/>
      <c r="AE49" s="7"/>
      <c r="AF49" s="7"/>
      <c r="AG49" s="7"/>
      <c r="AH49" s="7"/>
      <c r="AI49" s="7"/>
      <c r="AJ49" s="7"/>
      <c r="AK49" s="7"/>
      <c r="AL49" s="7"/>
      <c r="AM49" s="7"/>
      <c r="AN49" s="7"/>
    </row>
    <row r="50" spans="1:40" s="6" customFormat="1" ht="28.5" customHeight="1">
      <c r="A50" s="7"/>
      <c r="B50" s="151"/>
      <c r="C50" s="152" t="s">
        <v>357</v>
      </c>
      <c r="D50" s="153" t="s">
        <v>331</v>
      </c>
      <c r="E50" s="153" t="s">
        <v>333</v>
      </c>
      <c r="F50" s="153" t="s">
        <v>332</v>
      </c>
      <c r="G50" s="153" t="s">
        <v>137</v>
      </c>
      <c r="H50" s="153" t="s">
        <v>267</v>
      </c>
      <c r="I50" s="151"/>
      <c r="J50" s="7"/>
      <c r="K50" s="304" t="s">
        <v>175</v>
      </c>
      <c r="L50" s="436">
        <f>SUM(L16:L27,M16:M27,L33,L38,L42)</f>
        <v>0</v>
      </c>
      <c r="M50" s="304"/>
      <c r="N50" s="438">
        <f>SUM(N16:N27,O16:O27,N33,N38,N42)</f>
        <v>0</v>
      </c>
      <c r="O50" s="304"/>
      <c r="P50" s="438">
        <f>SUM(P16:P27,Q16:Q27,P33,P38,P42)</f>
        <v>0</v>
      </c>
      <c r="Q50" s="304"/>
      <c r="R50" s="437">
        <f>SUM(R16:R27,S16:S27,R33,R38,R42)</f>
        <v>0</v>
      </c>
      <c r="S50" s="304"/>
      <c r="T50" s="437">
        <f>SUM(T16:T27)</f>
        <v>0</v>
      </c>
      <c r="U50" s="7"/>
      <c r="V50" s="7"/>
      <c r="W50" s="7"/>
      <c r="X50" s="7"/>
      <c r="Y50" s="7"/>
      <c r="Z50" s="7"/>
      <c r="AA50" s="7"/>
      <c r="AB50" s="7"/>
      <c r="AC50" s="7"/>
      <c r="AD50" s="7"/>
      <c r="AE50" s="7"/>
      <c r="AF50" s="7"/>
      <c r="AG50" s="7"/>
      <c r="AH50" s="7"/>
      <c r="AI50" s="7"/>
      <c r="AJ50" s="7"/>
      <c r="AK50" s="7"/>
      <c r="AL50" s="7"/>
      <c r="AM50" s="7"/>
      <c r="AN50" s="7"/>
    </row>
    <row r="51" spans="1:40" s="6" customFormat="1" ht="19.5">
      <c r="A51" s="7"/>
      <c r="B51" s="151"/>
      <c r="C51" s="154"/>
      <c r="D51" s="155" t="s">
        <v>16</v>
      </c>
      <c r="E51" s="155" t="s">
        <v>154</v>
      </c>
      <c r="F51" s="155" t="s">
        <v>154</v>
      </c>
      <c r="G51" s="155" t="s">
        <v>240</v>
      </c>
      <c r="H51" s="155" t="s">
        <v>258</v>
      </c>
      <c r="I51" s="151"/>
      <c r="J51" s="7"/>
      <c r="K51" s="358"/>
      <c r="L51" s="359"/>
      <c r="M51" s="341"/>
      <c r="N51" s="341"/>
      <c r="O51" s="341"/>
      <c r="P51" s="360"/>
      <c r="Q51" s="341"/>
      <c r="R51" s="361"/>
      <c r="S51" s="358"/>
      <c r="T51" s="358"/>
      <c r="U51" s="7"/>
      <c r="V51" s="7"/>
      <c r="W51" s="7"/>
      <c r="X51" s="7"/>
      <c r="Y51" s="7"/>
      <c r="Z51" s="7"/>
      <c r="AA51" s="7"/>
      <c r="AB51" s="7"/>
      <c r="AC51" s="7"/>
      <c r="AD51" s="7"/>
      <c r="AE51" s="7"/>
      <c r="AF51" s="7"/>
      <c r="AG51" s="7"/>
      <c r="AH51" s="7"/>
      <c r="AI51" s="7"/>
      <c r="AJ51" s="7"/>
      <c r="AK51" s="7"/>
      <c r="AL51" s="7"/>
      <c r="AM51" s="7"/>
      <c r="AN51" s="7"/>
    </row>
    <row r="52" spans="1:40" s="6" customFormat="1">
      <c r="A52" s="7"/>
      <c r="B52" s="151"/>
      <c r="C52" s="156" t="s">
        <v>236</v>
      </c>
      <c r="D52" s="157">
        <f>IFERROR(SUM(L$16:L$27),0)</f>
        <v>0</v>
      </c>
      <c r="E52" s="158">
        <f>IFERROR(SUM(N$16:N$27),0)</f>
        <v>0</v>
      </c>
      <c r="F52" s="158">
        <f>IFERROR(SUM(P$16:P$27),0)</f>
        <v>0</v>
      </c>
      <c r="G52" s="159">
        <f>IFERROR(SUM(R$16:R$27),0)</f>
        <v>0</v>
      </c>
      <c r="H52" s="159">
        <f>IFERROR(SUM(T$16:T$27),0)</f>
        <v>0</v>
      </c>
      <c r="I52" s="160"/>
      <c r="J52" s="7"/>
      <c r="K52" s="362"/>
      <c r="L52" s="363"/>
      <c r="M52" s="364"/>
      <c r="N52" s="364"/>
      <c r="O52" s="364"/>
      <c r="P52" s="364"/>
      <c r="Q52" s="364"/>
      <c r="R52" s="364"/>
      <c r="S52" s="364"/>
      <c r="T52" s="364"/>
      <c r="U52" s="7"/>
      <c r="V52" s="7"/>
      <c r="W52" s="7"/>
      <c r="X52" s="7"/>
      <c r="Y52" s="7"/>
      <c r="Z52" s="7"/>
      <c r="AA52" s="7"/>
      <c r="AB52" s="7"/>
      <c r="AC52" s="7"/>
      <c r="AD52" s="7"/>
      <c r="AE52" s="7"/>
      <c r="AF52" s="7"/>
      <c r="AG52" s="7"/>
      <c r="AH52" s="7"/>
      <c r="AI52" s="7"/>
      <c r="AJ52" s="7"/>
      <c r="AK52" s="7"/>
      <c r="AL52" s="7"/>
      <c r="AM52" s="7"/>
      <c r="AN52" s="7"/>
    </row>
    <row r="53" spans="1:40" s="6" customFormat="1">
      <c r="A53" s="7"/>
      <c r="B53" s="151"/>
      <c r="C53" s="156" t="s">
        <v>237</v>
      </c>
      <c r="D53" s="157">
        <f>IFERROR(SUM(M$16:M$27),0)</f>
        <v>0</v>
      </c>
      <c r="E53" s="158">
        <f>IFERROR(SUM(O$16:O$27),0)</f>
        <v>0</v>
      </c>
      <c r="F53" s="158">
        <f>IFERROR(SUM(Q$16:Q$27),0)</f>
        <v>0</v>
      </c>
      <c r="G53" s="159">
        <f>IFERROR(SUM(S$16:S$27),0)</f>
        <v>0</v>
      </c>
      <c r="H53" s="161"/>
      <c r="I53" s="162"/>
      <c r="J53" s="7"/>
      <c r="K53" s="365"/>
      <c r="L53" s="366"/>
      <c r="M53" s="358"/>
      <c r="N53" s="358"/>
      <c r="O53" s="358"/>
      <c r="P53" s="360"/>
      <c r="Q53" s="341"/>
      <c r="R53" s="361"/>
      <c r="S53" s="358"/>
      <c r="T53" s="358"/>
      <c r="U53" s="7"/>
      <c r="V53" s="7"/>
      <c r="W53" s="7"/>
      <c r="X53" s="7"/>
      <c r="Y53" s="7"/>
      <c r="Z53" s="7"/>
      <c r="AA53" s="7"/>
      <c r="AB53" s="7"/>
      <c r="AC53" s="7"/>
      <c r="AD53" s="7"/>
      <c r="AE53" s="7"/>
      <c r="AF53" s="7"/>
      <c r="AG53" s="7"/>
      <c r="AH53" s="7"/>
      <c r="AI53" s="7"/>
      <c r="AJ53" s="7"/>
      <c r="AK53" s="7"/>
      <c r="AL53" s="7"/>
      <c r="AM53" s="7"/>
      <c r="AN53" s="7"/>
    </row>
    <row r="54" spans="1:40" s="6" customFormat="1">
      <c r="A54" s="7"/>
      <c r="B54" s="151"/>
      <c r="C54" s="163" t="s">
        <v>238</v>
      </c>
      <c r="D54" s="164">
        <f>IFERROR(SUM(L38,L42),0)</f>
        <v>0</v>
      </c>
      <c r="E54" s="165">
        <f>IFERROR(SUM(N38,N42),0)</f>
        <v>0</v>
      </c>
      <c r="F54" s="158">
        <f>IFERROR(SUM(P38,P42),0)</f>
        <v>0</v>
      </c>
      <c r="G54" s="159">
        <f>IFERROR(SUM(R38,R42),0)</f>
        <v>0</v>
      </c>
      <c r="H54" s="161"/>
      <c r="I54" s="162"/>
      <c r="J54" s="7"/>
      <c r="K54" s="365"/>
      <c r="L54" s="367"/>
      <c r="M54" s="358"/>
      <c r="N54" s="358"/>
      <c r="O54" s="358"/>
      <c r="P54" s="360"/>
      <c r="Q54" s="341"/>
      <c r="R54" s="361"/>
      <c r="S54" s="358"/>
      <c r="T54" s="358"/>
      <c r="U54" s="7"/>
      <c r="V54" s="7"/>
      <c r="W54" s="7"/>
      <c r="X54" s="7"/>
      <c r="Y54" s="7"/>
      <c r="Z54" s="7"/>
      <c r="AA54" s="7"/>
      <c r="AB54" s="7"/>
      <c r="AC54" s="7"/>
      <c r="AD54" s="7"/>
      <c r="AE54" s="7"/>
      <c r="AF54" s="7"/>
      <c r="AG54" s="7"/>
      <c r="AH54" s="7"/>
      <c r="AI54" s="7"/>
      <c r="AJ54" s="7"/>
      <c r="AK54" s="7"/>
      <c r="AL54" s="7"/>
      <c r="AM54" s="7"/>
      <c r="AN54" s="7"/>
    </row>
    <row r="55" spans="1:40" s="6" customFormat="1">
      <c r="A55" s="7"/>
      <c r="B55" s="151"/>
      <c r="C55" s="163" t="s">
        <v>60</v>
      </c>
      <c r="D55" s="164">
        <f>IFERROR(L33,0)</f>
        <v>0</v>
      </c>
      <c r="E55" s="165">
        <f>IFERROR(N33,0)</f>
        <v>0</v>
      </c>
      <c r="F55" s="165">
        <f>IFERROR(P33,0)</f>
        <v>0</v>
      </c>
      <c r="G55" s="166">
        <f>IFERROR(R33,0)</f>
        <v>0</v>
      </c>
      <c r="H55" s="161"/>
      <c r="I55" s="162"/>
      <c r="J55" s="7"/>
      <c r="K55" s="368"/>
      <c r="L55" s="367"/>
      <c r="M55" s="358"/>
      <c r="N55" s="358"/>
      <c r="O55" s="358"/>
      <c r="P55" s="360"/>
      <c r="Q55" s="341"/>
      <c r="R55" s="361"/>
      <c r="S55" s="358"/>
      <c r="T55" s="358"/>
      <c r="U55" s="7"/>
      <c r="V55" s="7"/>
      <c r="W55" s="7"/>
      <c r="X55" s="7"/>
      <c r="Y55" s="7"/>
      <c r="Z55" s="7"/>
      <c r="AA55" s="7"/>
      <c r="AB55" s="7"/>
      <c r="AC55" s="7"/>
      <c r="AD55" s="7"/>
      <c r="AE55" s="7"/>
      <c r="AF55" s="7"/>
      <c r="AG55" s="7"/>
      <c r="AH55" s="7"/>
      <c r="AI55" s="7"/>
      <c r="AJ55" s="7"/>
      <c r="AK55" s="7"/>
      <c r="AL55" s="7"/>
      <c r="AM55" s="7"/>
      <c r="AN55" s="7"/>
    </row>
    <row r="56" spans="1:40" s="6" customFormat="1" ht="15" customHeight="1">
      <c r="A56" s="7"/>
      <c r="B56" s="151"/>
      <c r="C56" s="167" t="s">
        <v>1</v>
      </c>
      <c r="D56" s="168">
        <f>SUM(D52:D55)</f>
        <v>0</v>
      </c>
      <c r="E56" s="169">
        <f>SUM(E52:E55)</f>
        <v>0</v>
      </c>
      <c r="F56" s="169">
        <f t="shared" ref="F56:H56" si="13">SUM(F52:F55)</f>
        <v>0</v>
      </c>
      <c r="G56" s="170">
        <f t="shared" si="13"/>
        <v>0</v>
      </c>
      <c r="H56" s="170">
        <f t="shared" si="13"/>
        <v>0</v>
      </c>
      <c r="I56" s="160"/>
      <c r="J56" s="7"/>
      <c r="K56" s="365"/>
      <c r="L56" s="366"/>
      <c r="M56" s="341"/>
      <c r="N56" s="341"/>
      <c r="O56" s="341"/>
      <c r="P56" s="341"/>
      <c r="Q56" s="341"/>
      <c r="R56" s="341"/>
      <c r="S56" s="341"/>
      <c r="T56" s="341"/>
      <c r="U56" s="7"/>
      <c r="V56" s="7"/>
      <c r="W56" s="7"/>
      <c r="X56" s="7"/>
      <c r="Y56" s="7"/>
      <c r="Z56" s="7"/>
      <c r="AA56" s="7"/>
      <c r="AB56" s="7"/>
      <c r="AC56" s="7"/>
      <c r="AD56" s="7"/>
      <c r="AE56" s="7"/>
      <c r="AF56" s="7"/>
      <c r="AG56" s="7"/>
      <c r="AH56" s="7"/>
      <c r="AI56" s="7"/>
      <c r="AJ56" s="7"/>
      <c r="AK56" s="7"/>
      <c r="AL56" s="7"/>
      <c r="AM56" s="7"/>
      <c r="AN56" s="7"/>
    </row>
    <row r="57" spans="1:40" s="6" customFormat="1">
      <c r="A57" s="7"/>
      <c r="B57" s="151"/>
      <c r="C57" s="151"/>
      <c r="D57" s="151"/>
      <c r="E57" s="151"/>
      <c r="F57" s="151"/>
      <c r="G57" s="151"/>
      <c r="H57" s="151"/>
      <c r="I57" s="151"/>
      <c r="J57" s="7"/>
      <c r="K57" s="365"/>
      <c r="L57" s="366"/>
      <c r="M57" s="341"/>
      <c r="N57" s="341"/>
      <c r="O57" s="341"/>
      <c r="P57" s="341"/>
      <c r="Q57" s="341"/>
      <c r="R57" s="341"/>
      <c r="S57" s="341"/>
      <c r="T57" s="341"/>
      <c r="U57" s="7"/>
      <c r="V57" s="7"/>
      <c r="W57" s="7"/>
      <c r="X57" s="7"/>
      <c r="Y57" s="7"/>
      <c r="Z57" s="7"/>
      <c r="AA57" s="7"/>
      <c r="AB57" s="7"/>
      <c r="AC57" s="7"/>
      <c r="AD57" s="7"/>
      <c r="AE57" s="7"/>
      <c r="AF57" s="7"/>
      <c r="AG57" s="7"/>
      <c r="AH57" s="7"/>
      <c r="AI57" s="7"/>
      <c r="AJ57" s="7"/>
      <c r="AK57" s="7"/>
      <c r="AL57" s="7"/>
      <c r="AM57" s="7"/>
      <c r="AN57" s="7"/>
    </row>
    <row r="58" spans="1:40" s="6" customForma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row>
    <row r="59" spans="1:40">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row>
    <row r="60" spans="1:40">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row>
    <row r="61" spans="1:40">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row>
    <row r="62" spans="1:40">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row>
    <row r="63" spans="1:40">
      <c r="A63" s="7"/>
      <c r="B63" s="7"/>
      <c r="C63" s="7"/>
      <c r="D63" s="7"/>
      <c r="E63" s="7"/>
      <c r="F63" s="7"/>
      <c r="G63" s="7"/>
      <c r="H63" s="7"/>
      <c r="I63" s="1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row>
    <row r="64" spans="1:40">
      <c r="A64" s="7"/>
      <c r="B64" s="7"/>
      <c r="C64" s="15"/>
      <c r="D64" s="15"/>
      <c r="E64" s="15"/>
      <c r="F64" s="15"/>
      <c r="G64" s="15"/>
      <c r="H64" s="15"/>
      <c r="I64" s="7"/>
      <c r="J64" s="7"/>
      <c r="K64" s="7"/>
      <c r="U64" s="7"/>
      <c r="V64" s="7"/>
      <c r="W64" s="7"/>
      <c r="X64" s="7"/>
      <c r="Y64" s="7"/>
      <c r="Z64" s="7"/>
      <c r="AA64" s="7"/>
      <c r="AB64" s="7"/>
      <c r="AC64" s="7"/>
      <c r="AD64" s="7"/>
      <c r="AE64" s="7"/>
      <c r="AF64" s="7"/>
      <c r="AG64" s="7"/>
      <c r="AH64" s="7"/>
      <c r="AI64" s="7"/>
      <c r="AJ64" s="7"/>
      <c r="AK64" s="7"/>
      <c r="AL64" s="7"/>
      <c r="AM64" s="7"/>
      <c r="AN64" s="7"/>
    </row>
    <row r="65" spans="1:40">
      <c r="A65" s="7"/>
      <c r="B65" s="8"/>
      <c r="C65" s="7"/>
      <c r="D65" s="7"/>
      <c r="E65" s="7"/>
      <c r="F65" s="7"/>
      <c r="G65" s="7"/>
      <c r="H65" s="7"/>
      <c r="I65" s="7"/>
      <c r="J65" s="7"/>
      <c r="K65" s="7"/>
      <c r="U65" s="7"/>
      <c r="V65" s="7"/>
      <c r="W65" s="7"/>
      <c r="X65" s="7"/>
      <c r="Y65" s="7"/>
      <c r="Z65" s="7"/>
      <c r="AA65" s="7"/>
      <c r="AB65" s="7"/>
      <c r="AC65" s="7"/>
      <c r="AD65" s="7"/>
      <c r="AE65" s="7"/>
      <c r="AF65" s="7"/>
      <c r="AG65" s="7"/>
      <c r="AH65" s="7"/>
      <c r="AI65" s="7"/>
      <c r="AJ65" s="7"/>
      <c r="AK65" s="7"/>
      <c r="AL65" s="7"/>
      <c r="AM65" s="7"/>
      <c r="AN65" s="7"/>
    </row>
    <row r="66" spans="1:40">
      <c r="A66" s="7"/>
      <c r="B66" s="7"/>
      <c r="C66" s="7"/>
      <c r="D66" s="7"/>
      <c r="E66" s="7"/>
      <c r="F66" s="7"/>
      <c r="G66" s="7"/>
      <c r="H66" s="7"/>
      <c r="I66" s="7"/>
      <c r="J66" s="7"/>
      <c r="K66" s="7"/>
      <c r="U66" s="7"/>
      <c r="V66" s="7"/>
      <c r="W66" s="7"/>
      <c r="X66" s="7"/>
      <c r="Y66" s="7"/>
      <c r="Z66" s="7"/>
      <c r="AA66" s="7"/>
      <c r="AB66" s="7"/>
      <c r="AC66" s="7"/>
      <c r="AD66" s="7"/>
      <c r="AE66" s="7"/>
      <c r="AF66" s="7"/>
      <c r="AG66" s="7"/>
      <c r="AH66" s="7"/>
      <c r="AI66" s="7"/>
      <c r="AJ66" s="7"/>
      <c r="AK66" s="7"/>
      <c r="AL66" s="7"/>
      <c r="AM66" s="7"/>
      <c r="AN66" s="7"/>
    </row>
    <row r="67" spans="1:40">
      <c r="A67" s="7"/>
      <c r="B67" s="8"/>
      <c r="C67" s="7"/>
      <c r="D67" s="7"/>
      <c r="E67" s="7"/>
      <c r="F67" s="7"/>
      <c r="G67" s="7"/>
      <c r="H67" s="7"/>
      <c r="I67" s="7"/>
      <c r="J67" s="7"/>
      <c r="K67" s="7"/>
      <c r="U67" s="7"/>
      <c r="V67" s="7"/>
      <c r="W67" s="7"/>
      <c r="X67" s="7"/>
      <c r="Y67" s="7"/>
      <c r="Z67" s="7"/>
      <c r="AA67" s="7"/>
      <c r="AB67" s="7"/>
      <c r="AC67" s="7"/>
      <c r="AD67" s="7"/>
      <c r="AE67" s="7"/>
      <c r="AF67" s="7"/>
      <c r="AG67" s="7"/>
      <c r="AH67" s="7"/>
      <c r="AI67" s="7"/>
      <c r="AJ67" s="7"/>
      <c r="AK67" s="7"/>
      <c r="AL67" s="7"/>
      <c r="AM67" s="7"/>
      <c r="AN67" s="7"/>
    </row>
    <row r="68" spans="1:40">
      <c r="A68" s="7"/>
      <c r="B68" s="7"/>
      <c r="C68" s="7"/>
      <c r="D68" s="7"/>
      <c r="E68" s="7"/>
      <c r="F68" s="7"/>
      <c r="G68" s="7"/>
      <c r="H68" s="7"/>
      <c r="I68" s="7"/>
      <c r="J68" s="7"/>
      <c r="K68" s="7"/>
      <c r="U68" s="7"/>
      <c r="V68" s="7"/>
      <c r="W68" s="7"/>
      <c r="X68" s="7"/>
      <c r="Y68" s="7"/>
      <c r="Z68" s="7"/>
      <c r="AA68" s="7"/>
      <c r="AB68" s="7"/>
      <c r="AC68" s="7"/>
      <c r="AD68" s="7"/>
      <c r="AE68" s="7"/>
      <c r="AF68" s="7"/>
      <c r="AG68" s="7"/>
      <c r="AH68" s="7"/>
      <c r="AI68" s="7"/>
      <c r="AJ68" s="7"/>
      <c r="AK68" s="7"/>
      <c r="AL68" s="7"/>
      <c r="AM68" s="7"/>
      <c r="AN68" s="7"/>
    </row>
    <row r="69" spans="1:40">
      <c r="A69" s="7"/>
      <c r="B69" s="7"/>
      <c r="C69" s="7"/>
      <c r="D69" s="7"/>
      <c r="E69" s="7"/>
      <c r="F69" s="7"/>
      <c r="G69" s="7"/>
      <c r="H69" s="7"/>
      <c r="I69" s="7"/>
      <c r="J69" s="7"/>
      <c r="K69" s="7"/>
      <c r="U69" s="7"/>
      <c r="V69" s="7"/>
      <c r="W69" s="7"/>
      <c r="X69" s="7"/>
      <c r="Y69" s="7"/>
      <c r="Z69" s="7"/>
      <c r="AA69" s="7"/>
      <c r="AB69" s="7"/>
      <c r="AC69" s="7"/>
      <c r="AD69" s="7"/>
      <c r="AE69" s="7"/>
      <c r="AF69" s="7"/>
      <c r="AG69" s="7"/>
      <c r="AH69" s="7"/>
      <c r="AI69" s="7"/>
      <c r="AJ69" s="7"/>
      <c r="AK69" s="7"/>
      <c r="AL69" s="7"/>
      <c r="AM69" s="7"/>
      <c r="AN69" s="7"/>
    </row>
    <row r="70" spans="1:40">
      <c r="A70" s="7"/>
      <c r="B70" s="7"/>
      <c r="C70" s="7"/>
      <c r="D70" s="7"/>
      <c r="E70" s="7"/>
      <c r="F70" s="7"/>
      <c r="G70" s="7"/>
      <c r="H70" s="7"/>
      <c r="I70" s="7"/>
      <c r="J70" s="7"/>
      <c r="K70" s="7"/>
      <c r="U70" s="7"/>
      <c r="V70" s="7"/>
      <c r="W70" s="7"/>
      <c r="X70" s="7"/>
      <c r="Y70" s="7"/>
      <c r="Z70" s="7"/>
      <c r="AA70" s="7"/>
      <c r="AB70" s="7"/>
      <c r="AC70" s="7"/>
      <c r="AD70" s="7"/>
      <c r="AE70" s="7"/>
      <c r="AF70" s="7"/>
      <c r="AG70" s="7"/>
      <c r="AH70" s="7"/>
      <c r="AI70" s="7"/>
      <c r="AJ70" s="7"/>
      <c r="AK70" s="7"/>
      <c r="AL70" s="7"/>
      <c r="AM70" s="7"/>
      <c r="AN70" s="7"/>
    </row>
    <row r="71" spans="1:40">
      <c r="A71" s="7"/>
      <c r="B71" s="7"/>
      <c r="C71" s="7"/>
      <c r="D71" s="7"/>
      <c r="E71" s="7"/>
      <c r="F71" s="7"/>
      <c r="G71" s="7"/>
      <c r="H71" s="7"/>
      <c r="I71" s="7"/>
      <c r="J71" s="7"/>
      <c r="K71" s="7"/>
      <c r="U71" s="7"/>
      <c r="V71" s="7"/>
      <c r="W71" s="7"/>
      <c r="X71" s="7"/>
      <c r="Y71" s="7"/>
      <c r="Z71" s="7"/>
      <c r="AA71" s="7"/>
      <c r="AB71" s="7"/>
      <c r="AC71" s="7"/>
      <c r="AD71" s="7"/>
      <c r="AE71" s="7"/>
      <c r="AF71" s="7"/>
      <c r="AG71" s="7"/>
      <c r="AH71" s="7"/>
      <c r="AI71" s="7"/>
      <c r="AJ71" s="7"/>
      <c r="AK71" s="7"/>
      <c r="AL71" s="7"/>
      <c r="AM71" s="7"/>
      <c r="AN71" s="7"/>
    </row>
    <row r="72" spans="1:40">
      <c r="A72" s="7"/>
      <c r="B72" s="7"/>
      <c r="C72" s="7"/>
      <c r="D72" s="7"/>
      <c r="E72" s="7"/>
      <c r="F72" s="7"/>
      <c r="G72" s="7"/>
      <c r="H72" s="7"/>
      <c r="I72" s="7"/>
      <c r="J72" s="7"/>
      <c r="K72" s="7"/>
      <c r="U72" s="7"/>
      <c r="V72" s="7"/>
      <c r="W72" s="7"/>
      <c r="X72" s="7"/>
      <c r="Y72" s="7"/>
      <c r="Z72" s="7"/>
      <c r="AA72" s="7"/>
      <c r="AB72" s="7"/>
      <c r="AC72" s="7"/>
      <c r="AD72" s="7"/>
      <c r="AE72" s="7"/>
      <c r="AF72" s="7"/>
      <c r="AG72" s="7"/>
      <c r="AH72" s="7"/>
      <c r="AI72" s="7"/>
      <c r="AJ72" s="7"/>
      <c r="AK72" s="7"/>
      <c r="AL72" s="7"/>
      <c r="AM72" s="7"/>
      <c r="AN72" s="7"/>
    </row>
    <row r="73" spans="1:40">
      <c r="A73" s="7"/>
      <c r="B73" s="7"/>
      <c r="C73" s="7"/>
      <c r="D73" s="7"/>
      <c r="E73" s="7"/>
      <c r="F73" s="7"/>
      <c r="G73" s="7"/>
      <c r="H73" s="7"/>
      <c r="I73" s="7"/>
      <c r="J73" s="7"/>
      <c r="K73" s="7"/>
      <c r="U73" s="7"/>
      <c r="V73" s="7"/>
      <c r="W73" s="7"/>
      <c r="X73" s="7"/>
      <c r="Y73" s="7"/>
      <c r="Z73" s="7"/>
      <c r="AA73" s="7"/>
      <c r="AB73" s="7"/>
      <c r="AC73" s="7"/>
      <c r="AD73" s="7"/>
      <c r="AE73" s="7"/>
      <c r="AF73" s="7"/>
      <c r="AG73" s="7"/>
      <c r="AH73" s="7"/>
      <c r="AI73" s="7"/>
      <c r="AJ73" s="7"/>
      <c r="AK73" s="7"/>
      <c r="AL73" s="7"/>
      <c r="AM73" s="7"/>
      <c r="AN73" s="7"/>
    </row>
    <row r="74" spans="1:40">
      <c r="A74" s="7"/>
      <c r="B74" s="7"/>
      <c r="C74" s="7"/>
      <c r="D74" s="7"/>
      <c r="E74" s="7"/>
      <c r="F74" s="7"/>
      <c r="G74" s="7"/>
      <c r="H74" s="7"/>
      <c r="I74" s="7"/>
      <c r="J74" s="7"/>
      <c r="K74" s="7"/>
      <c r="U74" s="7"/>
      <c r="V74" s="7"/>
      <c r="W74" s="7"/>
      <c r="X74" s="7"/>
      <c r="Y74" s="7"/>
      <c r="Z74" s="7"/>
      <c r="AA74" s="7"/>
      <c r="AB74" s="7"/>
      <c r="AC74" s="7"/>
      <c r="AD74" s="7"/>
      <c r="AE74" s="7"/>
      <c r="AF74" s="7"/>
      <c r="AG74" s="7"/>
      <c r="AH74" s="7"/>
      <c r="AI74" s="7"/>
      <c r="AJ74" s="7"/>
      <c r="AK74" s="7"/>
      <c r="AL74" s="7"/>
      <c r="AM74" s="7"/>
      <c r="AN74" s="7"/>
    </row>
    <row r="75" spans="1:40">
      <c r="A75" s="7"/>
      <c r="B75" s="7"/>
      <c r="C75" s="7"/>
      <c r="D75" s="7"/>
      <c r="E75" s="7"/>
      <c r="F75" s="7"/>
      <c r="G75" s="7"/>
      <c r="H75" s="7"/>
      <c r="I75" s="7"/>
      <c r="J75" s="7"/>
      <c r="K75" s="7"/>
      <c r="U75" s="7"/>
      <c r="V75" s="7"/>
      <c r="W75" s="7"/>
      <c r="X75" s="7"/>
      <c r="Y75" s="7"/>
      <c r="Z75" s="7"/>
      <c r="AA75" s="7"/>
      <c r="AB75" s="7"/>
      <c r="AC75" s="7"/>
      <c r="AD75" s="7"/>
      <c r="AE75" s="7"/>
      <c r="AF75" s="7"/>
      <c r="AG75" s="7"/>
      <c r="AH75" s="7"/>
      <c r="AI75" s="7"/>
      <c r="AJ75" s="7"/>
      <c r="AK75" s="7"/>
      <c r="AL75" s="7"/>
      <c r="AM75" s="7"/>
      <c r="AN75" s="7"/>
    </row>
    <row r="76" spans="1:40">
      <c r="A76" s="7"/>
      <c r="B76" s="7"/>
      <c r="C76" s="7"/>
      <c r="D76" s="7"/>
      <c r="E76" s="7"/>
      <c r="F76" s="7"/>
      <c r="G76" s="7"/>
      <c r="H76" s="7"/>
      <c r="I76" s="7"/>
      <c r="J76" s="7"/>
      <c r="K76" s="7"/>
      <c r="U76" s="7"/>
      <c r="V76" s="7"/>
      <c r="W76" s="7"/>
      <c r="X76" s="7"/>
      <c r="Y76" s="7"/>
      <c r="Z76" s="7"/>
      <c r="AA76" s="7"/>
      <c r="AB76" s="7"/>
      <c r="AC76" s="7"/>
      <c r="AD76" s="7"/>
      <c r="AE76" s="7"/>
      <c r="AF76" s="7"/>
      <c r="AG76" s="7"/>
      <c r="AH76" s="7"/>
      <c r="AI76" s="7"/>
      <c r="AJ76" s="7"/>
      <c r="AK76" s="7"/>
      <c r="AL76" s="7"/>
      <c r="AM76" s="7"/>
      <c r="AN76" s="7"/>
    </row>
    <row r="77" spans="1:40">
      <c r="A77" s="7"/>
      <c r="B77" s="7"/>
      <c r="C77" s="7"/>
      <c r="D77" s="7"/>
      <c r="E77" s="7"/>
      <c r="F77" s="7"/>
      <c r="G77" s="7"/>
      <c r="H77" s="7"/>
      <c r="I77" s="7"/>
      <c r="J77" s="7"/>
      <c r="K77" s="7"/>
      <c r="U77" s="7"/>
      <c r="V77" s="7"/>
      <c r="W77" s="7"/>
      <c r="X77" s="7"/>
      <c r="Y77" s="7"/>
      <c r="Z77" s="7"/>
      <c r="AA77" s="7"/>
      <c r="AB77" s="7"/>
      <c r="AC77" s="7"/>
      <c r="AD77" s="7"/>
      <c r="AE77" s="7"/>
      <c r="AF77" s="7"/>
      <c r="AG77" s="7"/>
      <c r="AH77" s="7"/>
      <c r="AI77" s="7"/>
      <c r="AJ77" s="7"/>
      <c r="AK77" s="7"/>
      <c r="AL77" s="7"/>
      <c r="AM77" s="7"/>
      <c r="AN77" s="7"/>
    </row>
    <row r="78" spans="1:40" ht="15.75" customHeight="1">
      <c r="A78" s="7"/>
      <c r="B78" s="7"/>
      <c r="C78" s="7"/>
      <c r="D78" s="7"/>
      <c r="E78" s="7"/>
      <c r="F78" s="7"/>
      <c r="G78" s="7"/>
      <c r="H78" s="7"/>
      <c r="I78" s="7"/>
      <c r="J78" s="7"/>
      <c r="K78" s="7"/>
      <c r="U78" s="7"/>
      <c r="V78" s="7"/>
      <c r="W78" s="7"/>
      <c r="X78" s="7"/>
      <c r="Y78" s="7"/>
      <c r="Z78" s="7"/>
      <c r="AA78" s="7"/>
      <c r="AB78" s="7"/>
      <c r="AC78" s="7"/>
      <c r="AD78" s="7"/>
      <c r="AE78" s="7"/>
      <c r="AF78" s="7"/>
      <c r="AG78" s="7"/>
      <c r="AH78" s="7"/>
      <c r="AI78" s="7"/>
      <c r="AJ78" s="7"/>
      <c r="AK78" s="7"/>
      <c r="AL78" s="7"/>
      <c r="AM78" s="7"/>
      <c r="AN78" s="7"/>
    </row>
    <row r="79" spans="1:40">
      <c r="A79" s="7"/>
      <c r="B79" s="7"/>
      <c r="C79" s="7"/>
      <c r="D79" s="7"/>
      <c r="E79" s="7"/>
      <c r="F79" s="7"/>
      <c r="G79" s="7"/>
      <c r="H79" s="7"/>
      <c r="I79" s="7"/>
      <c r="J79" s="7"/>
      <c r="K79" s="7"/>
      <c r="U79" s="7"/>
      <c r="V79" s="7"/>
      <c r="W79" s="7"/>
      <c r="X79" s="7"/>
      <c r="Y79" s="7"/>
      <c r="Z79" s="7"/>
      <c r="AA79" s="7"/>
      <c r="AB79" s="7"/>
      <c r="AC79" s="7"/>
      <c r="AD79" s="7"/>
      <c r="AE79" s="7"/>
      <c r="AF79" s="7"/>
      <c r="AG79" s="7"/>
      <c r="AH79" s="7"/>
      <c r="AI79" s="7"/>
      <c r="AJ79" s="7"/>
      <c r="AK79" s="7"/>
      <c r="AL79" s="7"/>
      <c r="AM79" s="7"/>
      <c r="AN79" s="7"/>
    </row>
    <row r="80" spans="1:40">
      <c r="A80" s="7"/>
      <c r="B80" s="7"/>
      <c r="C80" s="7"/>
      <c r="D80" s="7"/>
      <c r="E80" s="7"/>
      <c r="F80" s="7"/>
      <c r="G80" s="7"/>
      <c r="H80" s="7"/>
      <c r="I80" s="7"/>
      <c r="J80" s="7"/>
      <c r="K80" s="7"/>
      <c r="U80" s="7"/>
      <c r="V80" s="7"/>
      <c r="W80" s="7"/>
      <c r="X80" s="7"/>
      <c r="Y80" s="7"/>
      <c r="Z80" s="7"/>
      <c r="AA80" s="7"/>
      <c r="AB80" s="7"/>
      <c r="AC80" s="7"/>
      <c r="AD80" s="7"/>
      <c r="AE80" s="7"/>
      <c r="AF80" s="7"/>
      <c r="AG80" s="7"/>
      <c r="AH80" s="7"/>
      <c r="AI80" s="7"/>
      <c r="AJ80" s="7"/>
      <c r="AK80" s="7"/>
      <c r="AL80" s="7"/>
      <c r="AM80" s="7"/>
      <c r="AN80" s="7"/>
    </row>
    <row r="81" spans="1:40">
      <c r="A81" s="7"/>
      <c r="B81" s="7"/>
      <c r="C81" s="7"/>
      <c r="D81" s="7"/>
      <c r="E81" s="7"/>
      <c r="F81" s="7"/>
      <c r="G81" s="7"/>
      <c r="H81" s="7"/>
      <c r="I81" s="7"/>
      <c r="J81" s="7"/>
      <c r="K81" s="7"/>
      <c r="U81" s="7"/>
      <c r="V81" s="7"/>
      <c r="W81" s="7"/>
      <c r="X81" s="7"/>
      <c r="Y81" s="7"/>
      <c r="Z81" s="7"/>
      <c r="AA81" s="7"/>
      <c r="AB81" s="7"/>
      <c r="AC81" s="7"/>
      <c r="AD81" s="7"/>
      <c r="AE81" s="7"/>
      <c r="AF81" s="7"/>
      <c r="AG81" s="7"/>
      <c r="AH81" s="7"/>
      <c r="AI81" s="7"/>
      <c r="AJ81" s="7"/>
      <c r="AK81" s="7"/>
      <c r="AL81" s="7"/>
      <c r="AM81" s="7"/>
      <c r="AN81" s="7"/>
    </row>
    <row r="82" spans="1:40">
      <c r="A82" s="7"/>
      <c r="B82" s="7"/>
      <c r="C82" s="7"/>
      <c r="D82" s="7"/>
      <c r="E82" s="7"/>
      <c r="F82" s="7"/>
      <c r="G82" s="7"/>
      <c r="H82" s="7"/>
      <c r="I82" s="7"/>
      <c r="J82" s="7"/>
      <c r="K82" s="7"/>
      <c r="U82" s="7"/>
      <c r="V82" s="7"/>
      <c r="W82" s="7"/>
      <c r="X82" s="7"/>
      <c r="Y82" s="7"/>
      <c r="Z82" s="7"/>
      <c r="AA82" s="7"/>
      <c r="AB82" s="7"/>
      <c r="AC82" s="7"/>
      <c r="AD82" s="7"/>
      <c r="AE82" s="7"/>
      <c r="AF82" s="7"/>
      <c r="AG82" s="7"/>
      <c r="AH82" s="7"/>
      <c r="AI82" s="7"/>
      <c r="AJ82" s="7"/>
      <c r="AK82" s="7"/>
      <c r="AL82" s="7"/>
      <c r="AM82" s="7"/>
      <c r="AN82" s="7"/>
    </row>
    <row r="83" spans="1:40">
      <c r="A83" s="7"/>
      <c r="B83" s="7"/>
      <c r="C83" s="7"/>
      <c r="D83" s="7"/>
      <c r="E83" s="7"/>
      <c r="F83" s="7"/>
      <c r="G83" s="7"/>
      <c r="H83" s="7"/>
      <c r="I83" s="7"/>
      <c r="J83" s="7"/>
      <c r="K83" s="7"/>
      <c r="U83" s="7"/>
      <c r="V83" s="7"/>
      <c r="W83" s="7"/>
      <c r="X83" s="7"/>
      <c r="Y83" s="7"/>
      <c r="Z83" s="7"/>
      <c r="AA83" s="7"/>
      <c r="AB83" s="7"/>
      <c r="AC83" s="7"/>
      <c r="AD83" s="7"/>
      <c r="AE83" s="7"/>
      <c r="AF83" s="7"/>
      <c r="AG83" s="7"/>
      <c r="AH83" s="7"/>
      <c r="AI83" s="7"/>
      <c r="AJ83" s="7"/>
      <c r="AK83" s="7"/>
      <c r="AL83" s="7"/>
      <c r="AM83" s="7"/>
      <c r="AN83" s="7"/>
    </row>
    <row r="84" spans="1:40">
      <c r="A84" s="7"/>
      <c r="B84" s="7"/>
      <c r="C84" s="7"/>
      <c r="D84" s="7"/>
      <c r="E84" s="7"/>
      <c r="F84" s="7"/>
      <c r="G84" s="7"/>
      <c r="H84" s="7"/>
      <c r="I84" s="7"/>
      <c r="J84" s="7"/>
      <c r="K84" s="7"/>
      <c r="U84" s="7"/>
      <c r="V84" s="7"/>
      <c r="W84" s="7"/>
      <c r="X84" s="7"/>
      <c r="Y84" s="7"/>
      <c r="Z84" s="7"/>
      <c r="AA84" s="7"/>
      <c r="AB84" s="7"/>
      <c r="AC84" s="7"/>
      <c r="AD84" s="7"/>
      <c r="AE84" s="7"/>
      <c r="AF84" s="7"/>
      <c r="AG84" s="7"/>
      <c r="AH84" s="7"/>
      <c r="AI84" s="7"/>
      <c r="AJ84" s="7"/>
      <c r="AK84" s="7"/>
      <c r="AL84" s="7"/>
      <c r="AM84" s="7"/>
      <c r="AN84" s="7"/>
    </row>
    <row r="85" spans="1:40">
      <c r="A85" s="7"/>
      <c r="B85" s="7"/>
      <c r="C85" s="7"/>
      <c r="D85" s="7"/>
      <c r="E85" s="7"/>
      <c r="F85" s="7"/>
      <c r="G85" s="7"/>
      <c r="H85" s="7"/>
      <c r="I85" s="7"/>
      <c r="J85" s="7"/>
      <c r="K85" s="7"/>
      <c r="U85" s="7"/>
      <c r="V85" s="7"/>
      <c r="W85" s="7"/>
      <c r="X85" s="7"/>
      <c r="Y85" s="7"/>
      <c r="Z85" s="7"/>
      <c r="AA85" s="7"/>
      <c r="AB85" s="7"/>
      <c r="AC85" s="7"/>
      <c r="AD85" s="7"/>
      <c r="AE85" s="7"/>
      <c r="AF85" s="7"/>
      <c r="AG85" s="7"/>
      <c r="AH85" s="7"/>
      <c r="AI85" s="7"/>
      <c r="AJ85" s="7"/>
      <c r="AK85" s="7"/>
      <c r="AL85" s="7"/>
      <c r="AM85" s="7"/>
      <c r="AN85" s="7"/>
    </row>
    <row r="86" spans="1:40">
      <c r="A86" s="7"/>
      <c r="B86" s="7"/>
      <c r="C86" s="7"/>
      <c r="D86" s="7"/>
      <c r="E86" s="7"/>
      <c r="F86" s="7"/>
      <c r="G86" s="7"/>
      <c r="H86" s="7"/>
      <c r="I86" s="7"/>
      <c r="J86" s="7"/>
      <c r="K86" s="7"/>
      <c r="U86" s="7"/>
      <c r="V86" s="7"/>
      <c r="W86" s="7"/>
      <c r="X86" s="7"/>
      <c r="Y86" s="7"/>
      <c r="Z86" s="7"/>
      <c r="AA86" s="7"/>
      <c r="AB86" s="7"/>
      <c r="AC86" s="7"/>
      <c r="AD86" s="7"/>
      <c r="AE86" s="7"/>
      <c r="AF86" s="7"/>
      <c r="AG86" s="7"/>
      <c r="AH86" s="7"/>
      <c r="AI86" s="7"/>
      <c r="AJ86" s="7"/>
      <c r="AK86" s="7"/>
      <c r="AL86" s="7"/>
      <c r="AM86" s="7"/>
      <c r="AN86" s="7"/>
    </row>
    <row r="87" spans="1:40">
      <c r="A87" s="7"/>
      <c r="B87" s="7"/>
      <c r="C87" s="7"/>
      <c r="D87" s="7"/>
      <c r="E87" s="7"/>
      <c r="F87" s="7"/>
      <c r="G87" s="7"/>
      <c r="H87" s="7"/>
      <c r="I87" s="7"/>
      <c r="J87" s="7"/>
      <c r="K87" s="7"/>
      <c r="U87" s="7"/>
      <c r="V87" s="7"/>
      <c r="W87" s="7"/>
      <c r="X87" s="7"/>
      <c r="Y87" s="7"/>
      <c r="Z87" s="7"/>
      <c r="AA87" s="7"/>
      <c r="AB87" s="7"/>
      <c r="AC87" s="7"/>
      <c r="AD87" s="7"/>
      <c r="AE87" s="7"/>
      <c r="AF87" s="7"/>
      <c r="AG87" s="7"/>
      <c r="AH87" s="7"/>
      <c r="AI87" s="7"/>
      <c r="AJ87" s="7"/>
      <c r="AK87" s="7"/>
      <c r="AL87" s="7"/>
      <c r="AM87" s="7"/>
      <c r="AN87" s="7"/>
    </row>
    <row r="88" spans="1:40">
      <c r="A88" s="7"/>
      <c r="B88" s="7"/>
      <c r="C88" s="7"/>
      <c r="D88" s="7"/>
      <c r="E88" s="7"/>
      <c r="F88" s="7"/>
      <c r="G88" s="7"/>
      <c r="H88" s="7"/>
      <c r="I88" s="7"/>
      <c r="J88" s="7"/>
      <c r="K88" s="7"/>
      <c r="U88" s="7"/>
      <c r="V88" s="7"/>
      <c r="W88" s="7"/>
      <c r="X88" s="7"/>
      <c r="Y88" s="7"/>
      <c r="Z88" s="7"/>
      <c r="AA88" s="7"/>
      <c r="AB88" s="7"/>
      <c r="AC88" s="7"/>
      <c r="AD88" s="7"/>
      <c r="AE88" s="7"/>
      <c r="AF88" s="7"/>
      <c r="AG88" s="7"/>
      <c r="AH88" s="7"/>
      <c r="AI88" s="7"/>
      <c r="AJ88" s="7"/>
      <c r="AK88" s="7"/>
      <c r="AL88" s="7"/>
      <c r="AM88" s="7"/>
      <c r="AN88" s="7"/>
    </row>
    <row r="89" spans="1:40">
      <c r="A89" s="7"/>
      <c r="B89" s="7"/>
      <c r="C89" s="7"/>
      <c r="D89" s="7"/>
      <c r="E89" s="7"/>
      <c r="F89" s="7"/>
      <c r="G89" s="7"/>
      <c r="H89" s="7"/>
      <c r="I89" s="7"/>
      <c r="J89" s="7"/>
      <c r="K89" s="7"/>
      <c r="U89" s="7"/>
      <c r="V89" s="7"/>
      <c r="W89" s="7"/>
      <c r="X89" s="7"/>
      <c r="Y89" s="7"/>
      <c r="Z89" s="7"/>
      <c r="AA89" s="7"/>
      <c r="AB89" s="7"/>
      <c r="AC89" s="7"/>
      <c r="AD89" s="7"/>
      <c r="AE89" s="7"/>
      <c r="AF89" s="7"/>
      <c r="AG89" s="7"/>
      <c r="AH89" s="7"/>
      <c r="AI89" s="7"/>
      <c r="AJ89" s="7"/>
      <c r="AK89" s="7"/>
      <c r="AL89" s="7"/>
      <c r="AM89" s="7"/>
      <c r="AN89" s="7"/>
    </row>
    <row r="90" spans="1:40">
      <c r="A90" s="7"/>
      <c r="B90" s="7"/>
      <c r="C90" s="7"/>
      <c r="D90" s="7"/>
      <c r="E90" s="7"/>
      <c r="F90" s="7"/>
      <c r="G90" s="7"/>
      <c r="H90" s="7"/>
      <c r="I90" s="7"/>
      <c r="J90" s="7"/>
      <c r="K90" s="7"/>
      <c r="U90" s="7"/>
      <c r="V90" s="7"/>
      <c r="W90" s="7"/>
      <c r="X90" s="7"/>
      <c r="Y90" s="7"/>
      <c r="Z90" s="7"/>
      <c r="AA90" s="7"/>
      <c r="AB90" s="7"/>
      <c r="AC90" s="7"/>
      <c r="AD90" s="7"/>
      <c r="AE90" s="7"/>
      <c r="AF90" s="7"/>
      <c r="AG90" s="7"/>
      <c r="AH90" s="7"/>
      <c r="AI90" s="7"/>
      <c r="AJ90" s="7"/>
      <c r="AK90" s="7"/>
      <c r="AL90" s="7"/>
      <c r="AM90" s="7"/>
      <c r="AN90" s="7"/>
    </row>
    <row r="91" spans="1:40">
      <c r="A91" s="7"/>
      <c r="B91" s="7"/>
      <c r="C91" s="7"/>
      <c r="D91" s="7"/>
      <c r="E91" s="7"/>
      <c r="F91" s="7"/>
      <c r="G91" s="7"/>
      <c r="H91" s="7"/>
      <c r="I91" s="7"/>
      <c r="J91" s="7"/>
      <c r="K91" s="7"/>
      <c r="U91" s="7"/>
      <c r="V91" s="7"/>
      <c r="W91" s="7"/>
      <c r="X91" s="7"/>
      <c r="Y91" s="7"/>
      <c r="Z91" s="7"/>
      <c r="AA91" s="7"/>
      <c r="AB91" s="7"/>
      <c r="AC91" s="7"/>
      <c r="AD91" s="7"/>
      <c r="AE91" s="7"/>
      <c r="AF91" s="7"/>
      <c r="AG91" s="7"/>
      <c r="AH91" s="7"/>
      <c r="AI91" s="7"/>
      <c r="AJ91" s="7"/>
      <c r="AK91" s="7"/>
      <c r="AL91" s="7"/>
      <c r="AM91" s="7"/>
      <c r="AN91" s="7"/>
    </row>
    <row r="92" spans="1:40">
      <c r="A92" s="7"/>
      <c r="B92" s="7"/>
      <c r="C92" s="7"/>
      <c r="D92" s="7"/>
      <c r="E92" s="7"/>
      <c r="F92" s="7"/>
      <c r="G92" s="7"/>
      <c r="H92" s="7"/>
      <c r="I92" s="7"/>
      <c r="J92" s="7"/>
      <c r="K92" s="7"/>
      <c r="U92" s="7"/>
      <c r="V92" s="7"/>
      <c r="W92" s="7"/>
      <c r="X92" s="7"/>
      <c r="Y92" s="7"/>
      <c r="Z92" s="7"/>
      <c r="AA92" s="7"/>
      <c r="AB92" s="7"/>
      <c r="AC92" s="7"/>
      <c r="AD92" s="7"/>
      <c r="AE92" s="7"/>
      <c r="AF92" s="7"/>
      <c r="AG92" s="7"/>
      <c r="AH92" s="7"/>
      <c r="AI92" s="7"/>
      <c r="AJ92" s="7"/>
      <c r="AK92" s="7"/>
      <c r="AL92" s="7"/>
      <c r="AM92" s="7"/>
      <c r="AN92" s="7"/>
    </row>
    <row r="93" spans="1:40">
      <c r="A93" s="7"/>
      <c r="B93" s="7"/>
      <c r="C93" s="7"/>
      <c r="D93" s="7"/>
      <c r="E93" s="7"/>
      <c r="F93" s="7"/>
      <c r="G93" s="7"/>
      <c r="H93" s="7"/>
      <c r="I93" s="7"/>
      <c r="J93" s="7"/>
      <c r="K93" s="7"/>
      <c r="U93" s="7"/>
      <c r="V93" s="7"/>
      <c r="W93" s="7"/>
      <c r="X93" s="7"/>
      <c r="Y93" s="7"/>
      <c r="Z93" s="7"/>
      <c r="AA93" s="7"/>
      <c r="AB93" s="7"/>
      <c r="AC93" s="7"/>
      <c r="AD93" s="7"/>
      <c r="AE93" s="7"/>
      <c r="AF93" s="7"/>
      <c r="AG93" s="7"/>
      <c r="AH93" s="7"/>
      <c r="AI93" s="7"/>
      <c r="AJ93" s="7"/>
      <c r="AK93" s="7"/>
      <c r="AL93" s="7"/>
      <c r="AM93" s="7"/>
      <c r="AN93" s="7"/>
    </row>
    <row r="94" spans="1:40">
      <c r="A94" s="7"/>
      <c r="B94" s="7"/>
      <c r="C94" s="7"/>
      <c r="D94" s="7"/>
      <c r="E94" s="7"/>
      <c r="F94" s="7"/>
      <c r="G94" s="7"/>
      <c r="H94" s="7"/>
      <c r="I94" s="7"/>
      <c r="J94" s="7"/>
      <c r="K94" s="7"/>
      <c r="U94" s="7"/>
      <c r="V94" s="7"/>
      <c r="W94" s="7"/>
      <c r="X94" s="7"/>
      <c r="Y94" s="7"/>
      <c r="Z94" s="7"/>
      <c r="AA94" s="7"/>
      <c r="AB94" s="7"/>
      <c r="AC94" s="7"/>
      <c r="AD94" s="7"/>
      <c r="AE94" s="7"/>
      <c r="AF94" s="7"/>
      <c r="AG94" s="7"/>
      <c r="AH94" s="7"/>
      <c r="AI94" s="7"/>
      <c r="AJ94" s="7"/>
      <c r="AK94" s="7"/>
      <c r="AL94" s="7"/>
      <c r="AM94" s="7"/>
      <c r="AN94" s="7"/>
    </row>
    <row r="95" spans="1:40">
      <c r="A95" s="7"/>
      <c r="B95" s="7"/>
      <c r="C95" s="7"/>
      <c r="D95" s="7"/>
      <c r="E95" s="7"/>
      <c r="F95" s="7"/>
      <c r="G95" s="7"/>
      <c r="H95" s="7"/>
      <c r="I95" s="7"/>
      <c r="J95" s="7"/>
      <c r="K95" s="7"/>
      <c r="U95" s="7"/>
      <c r="V95" s="7"/>
      <c r="W95" s="7"/>
      <c r="X95" s="7"/>
      <c r="Y95" s="7"/>
      <c r="Z95" s="7"/>
      <c r="AA95" s="7"/>
      <c r="AB95" s="7"/>
      <c r="AC95" s="7"/>
      <c r="AD95" s="7"/>
      <c r="AE95" s="7"/>
      <c r="AF95" s="7"/>
      <c r="AG95" s="7"/>
      <c r="AH95" s="7"/>
      <c r="AI95" s="7"/>
      <c r="AJ95" s="7"/>
      <c r="AK95" s="7"/>
      <c r="AL95" s="7"/>
      <c r="AM95" s="7"/>
      <c r="AN95" s="7"/>
    </row>
    <row r="96" spans="1:40">
      <c r="A96" s="7"/>
      <c r="B96" s="7"/>
      <c r="C96" s="7"/>
      <c r="D96" s="7"/>
      <c r="E96" s="7"/>
      <c r="F96" s="7"/>
      <c r="G96" s="7"/>
      <c r="H96" s="7"/>
      <c r="I96" s="7"/>
      <c r="K96" s="7"/>
      <c r="U96" s="7"/>
      <c r="V96" s="7"/>
      <c r="W96" s="7"/>
      <c r="X96" s="7"/>
      <c r="Y96" s="7"/>
      <c r="Z96" s="7"/>
      <c r="AA96" s="7"/>
      <c r="AB96" s="7"/>
      <c r="AC96" s="7"/>
      <c r="AD96" s="7"/>
      <c r="AE96" s="7"/>
      <c r="AF96" s="7"/>
      <c r="AG96" s="7"/>
      <c r="AH96" s="7"/>
      <c r="AI96" s="7"/>
      <c r="AJ96" s="7"/>
      <c r="AK96" s="7"/>
      <c r="AL96" s="7"/>
      <c r="AM96" s="7"/>
      <c r="AN96" s="7"/>
    </row>
    <row r="97" spans="21:40">
      <c r="U97" s="7"/>
      <c r="V97" s="7"/>
      <c r="W97" s="7"/>
      <c r="X97" s="7"/>
      <c r="Y97" s="7"/>
      <c r="Z97" s="7"/>
      <c r="AA97" s="7"/>
      <c r="AB97" s="7"/>
      <c r="AC97" s="7"/>
      <c r="AD97" s="7"/>
      <c r="AE97" s="7"/>
      <c r="AF97" s="7"/>
      <c r="AG97" s="7"/>
      <c r="AH97" s="7"/>
      <c r="AI97" s="7"/>
      <c r="AJ97" s="7"/>
      <c r="AK97" s="7"/>
      <c r="AL97" s="7"/>
      <c r="AM97" s="7"/>
      <c r="AN97" s="7"/>
    </row>
    <row r="98" spans="21:40">
      <c r="U98" s="7"/>
      <c r="AA98" s="7"/>
      <c r="AB98" s="7"/>
      <c r="AC98" s="7"/>
      <c r="AD98" s="7"/>
      <c r="AE98" s="7"/>
      <c r="AF98" s="7"/>
      <c r="AG98" s="7"/>
      <c r="AH98" s="7"/>
      <c r="AI98" s="7"/>
      <c r="AJ98" s="7"/>
      <c r="AK98" s="7"/>
      <c r="AL98" s="7"/>
      <c r="AM98" s="7"/>
      <c r="AN98" s="7"/>
    </row>
  </sheetData>
  <sheetProtection algorithmName="SHA-512" hashValue="4Ilgv/v8tFuzuoEewFG/ZVLCAgfB2qvaNsq0X6NlBVlzbwQ+49USOIt0ZTKcJtiunNblryWZfSHIgFJ6HhuL5g==" saltValue="8gbRux4wQ3NdYGpw3mzsFw==" spinCount="100000" sheet="1" objects="1" scenarios="1" selectLockedCells="1"/>
  <mergeCells count="36">
    <mergeCell ref="D17:E17"/>
    <mergeCell ref="H6:I6"/>
    <mergeCell ref="L8:S8"/>
    <mergeCell ref="D9:H9"/>
    <mergeCell ref="D11:H11"/>
    <mergeCell ref="D16:E16"/>
    <mergeCell ref="F30:G30"/>
    <mergeCell ref="D18:E18"/>
    <mergeCell ref="D19:E19"/>
    <mergeCell ref="D20:E20"/>
    <mergeCell ref="D21:E21"/>
    <mergeCell ref="D22:E22"/>
    <mergeCell ref="D23:E23"/>
    <mergeCell ref="D24:E24"/>
    <mergeCell ref="D25:E25"/>
    <mergeCell ref="D26:E26"/>
    <mergeCell ref="D27:E27"/>
    <mergeCell ref="D30:E30"/>
    <mergeCell ref="D31:E31"/>
    <mergeCell ref="F31:G31"/>
    <mergeCell ref="D32:E32"/>
    <mergeCell ref="F32:G32"/>
    <mergeCell ref="D35:E35"/>
    <mergeCell ref="F35:G35"/>
    <mergeCell ref="D47:E47"/>
    <mergeCell ref="D36:E36"/>
    <mergeCell ref="F36:G36"/>
    <mergeCell ref="D37:E37"/>
    <mergeCell ref="F37:G37"/>
    <mergeCell ref="D39:E39"/>
    <mergeCell ref="F39:G39"/>
    <mergeCell ref="D40:E40"/>
    <mergeCell ref="F40:G40"/>
    <mergeCell ref="D41:E41"/>
    <mergeCell ref="F41:G41"/>
    <mergeCell ref="D46:E46"/>
  </mergeCells>
  <conditionalFormatting sqref="D28:E28 E29">
    <cfRule type="expression" dxfId="54" priority="14">
      <formula>D$28=DeklGewichtOK</formula>
    </cfRule>
  </conditionalFormatting>
  <conditionalFormatting sqref="G13:I13">
    <cfRule type="expression" dxfId="53" priority="13">
      <formula>AnzAusblenden=TRUE</formula>
    </cfRule>
  </conditionalFormatting>
  <conditionalFormatting sqref="H38 H42:H48">
    <cfRule type="expression" dxfId="52" priority="12">
      <formula>AND(H38&lt;=1.01,H38&gt;=0.99)</formula>
    </cfRule>
  </conditionalFormatting>
  <conditionalFormatting sqref="D38:E38">
    <cfRule type="expression" dxfId="51" priority="11">
      <formula>D$38=DeklAnteilNotOK</formula>
    </cfRule>
  </conditionalFormatting>
  <conditionalFormatting sqref="I52:I55">
    <cfRule type="dataBar" priority="15">
      <dataBar>
        <cfvo type="min"/>
        <cfvo type="max"/>
        <color rgb="FF63C384"/>
      </dataBar>
      <extLst>
        <ext xmlns:x14="http://schemas.microsoft.com/office/spreadsheetml/2009/9/main" uri="{B025F937-C7B1-47D3-B67F-A62EFF666E3E}">
          <x14:id>{0D775524-FA1C-418A-94D5-219C7F716185}</x14:id>
        </ext>
      </extLst>
    </cfRule>
  </conditionalFormatting>
  <conditionalFormatting sqref="I56">
    <cfRule type="dataBar" priority="16">
      <dataBar>
        <cfvo type="min"/>
        <cfvo type="max"/>
        <color rgb="FF63C384"/>
      </dataBar>
      <extLst>
        <ext xmlns:x14="http://schemas.microsoft.com/office/spreadsheetml/2009/9/main" uri="{B025F937-C7B1-47D3-B67F-A62EFF666E3E}">
          <x14:id>{8901F7D9-909E-4500-A6B4-BC88CF44CB9F}</x14:id>
        </ext>
      </extLst>
    </cfRule>
  </conditionalFormatting>
  <conditionalFormatting sqref="D42">
    <cfRule type="expression" dxfId="50" priority="10">
      <formula>D$42=DeklAnteilNotOK</formula>
    </cfRule>
  </conditionalFormatting>
  <conditionalFormatting sqref="D46 D48">
    <cfRule type="expression" dxfId="49" priority="9">
      <formula>D$46=DeklMatEffNotOK</formula>
    </cfRule>
  </conditionalFormatting>
  <conditionalFormatting sqref="F48:G48 F46">
    <cfRule type="expression" dxfId="48" priority="8">
      <formula>F$46=DeklEnEinsatzNotOK</formula>
    </cfRule>
  </conditionalFormatting>
  <conditionalFormatting sqref="D35:H37">
    <cfRule type="expression" dxfId="47" priority="17">
      <formula>$T$38=TRUE</formula>
    </cfRule>
  </conditionalFormatting>
  <conditionalFormatting sqref="D39:H41">
    <cfRule type="expression" dxfId="46" priority="18">
      <formula>$T$42=TRUE</formula>
    </cfRule>
  </conditionalFormatting>
  <conditionalFormatting sqref="D45 F45:G45">
    <cfRule type="expression" dxfId="45" priority="19">
      <formula>$T$45=TRUE</formula>
    </cfRule>
  </conditionalFormatting>
  <conditionalFormatting sqref="D30:H32">
    <cfRule type="expression" dxfId="44" priority="20">
      <formula>$T$33=TRUE</formula>
    </cfRule>
  </conditionalFormatting>
  <conditionalFormatting sqref="F47:G47">
    <cfRule type="expression" dxfId="43" priority="5">
      <formula>F$46=DeklEnEinsatzNotOK</formula>
    </cfRule>
  </conditionalFormatting>
  <conditionalFormatting sqref="G46">
    <cfRule type="expression" dxfId="42" priority="3">
      <formula>G$46=DeklEnEinsatzNotOK</formula>
    </cfRule>
  </conditionalFormatting>
  <conditionalFormatting sqref="D47">
    <cfRule type="expression" dxfId="41" priority="2">
      <formula>D$46=DeklMatEffNotOK</formula>
    </cfRule>
  </conditionalFormatting>
  <conditionalFormatting sqref="D47">
    <cfRule type="expression" dxfId="40" priority="1">
      <formula>D$46=DeklEnEinsatzNotOK</formula>
    </cfRule>
  </conditionalFormatting>
  <dataValidations count="21">
    <dataValidation type="decimal" allowBlank="1" showInputMessage="1" showErrorMessage="1" errorTitle="Fehler" error="Sie müssen Werte zwischen 0 und 100% eingeben." promptTitle="Anteil" prompt="Geben Sie den Anteil des Energieträgers am gesamten Strommix in Prozenten ein. Die Summe aller Anteile muss 100% betragen." sqref="H35:H37 H39:H41" xr:uid="{1CE02123-0FEB-4E3F-B80E-7880224BF634}">
      <formula1>0</formula1>
      <formula2>1</formula2>
    </dataValidation>
    <dataValidation type="list" allowBlank="1" showInputMessage="1" showErrorMessage="1" promptTitle="Energieträger Wärme" prompt="Wählen Sie denjenigen Eintrag aus der Liste, welcher der verwendeten Wärmequelle am besten entspricht." sqref="F39:G41" xr:uid="{D00BE5CF-3BDC-4EE8-BD25-60BDF9C5D4E5}">
      <formula1>LstWaerme</formula1>
    </dataValidation>
    <dataValidation type="list" allowBlank="1" showInputMessage="1" showErrorMessage="1" promptTitle="Energieträger Strom" prompt="Wählen Sie denjenigen Eintrag aus der Liste, welcher der verwendeten Stromquelle bzw. dem Strommix am besten entspricht." sqref="F35:G37" xr:uid="{2349122E-90E4-498A-9478-AE37F4B602AA}">
      <formula1>LstStrom</formula1>
    </dataValidation>
    <dataValidation allowBlank="1" showInputMessage="1" showErrorMessage="1" promptTitle="Bezeichnung Strom" prompt="Geben Sie hier einen Text zur Bezeichnung der Stromquelle oder der Stromart ein (z.B. &quot;EON Aquamix&quot; oder &quot;Strom ab PV-Anlage Werk 3&quot;)" sqref="D35:E37" xr:uid="{6CFE663E-C05A-4FAF-A933-27847B83A0B6}"/>
    <dataValidation type="list" allowBlank="1" showInputMessage="1" showErrorMessage="1" sqref="G28" xr:uid="{1245445A-99DD-4DC3-A72B-4D7F4234425F}">
      <formula1>INDIRECT($F28)</formula1>
    </dataValidation>
    <dataValidation type="list" allowBlank="1" showInputMessage="1" showErrorMessage="1" sqref="F28" xr:uid="{BD0BAFA2-539E-404F-A422-02C24D796C9C}">
      <formula1>RSart</formula1>
    </dataValidation>
    <dataValidation allowBlank="1" showInputMessage="1" showErrorMessage="1" promptTitle="Bezeichnung" prompt="Geben Sie hier ein, um welches Teil des Möbels es sich handelt (z.B. Beschlag Schublade)." sqref="D16:D27" xr:uid="{729649DC-C37F-46C1-85BA-5A2565AA6DAF}"/>
    <dataValidation type="list" allowBlank="1" showInputMessage="1" showErrorMessage="1" errorTitle="Fehler" error="Sie müssen einen Wert aus der Liste wählen." promptTitle="Gruppe" prompt="Wählen Sie eine Materialgruppe aus. " sqref="F16:F27" xr:uid="{80C3CC38-9D9D-49E2-A953-9D9DB0B9DF91}">
      <formula1>RSart</formula1>
    </dataValidation>
    <dataValidation type="list" allowBlank="1" showInputMessage="1" showErrorMessage="1" errorTitle="Fehler" error="Sie müssen einen Eintrag aus der Liste wählen." promptTitle="Material" prompt="Wählen Sie ein Material aus der Liste. Die Listeneinträge sind je nach gewählter Gruppe unterschiedlich." sqref="G16:G27" xr:uid="{E6968D6C-1CD9-4AC2-A053-E8E1E1204895}">
      <formula1>INDIRECT($F16)</formula1>
    </dataValidation>
    <dataValidation type="decimal" allowBlank="1" showInputMessage="1" showErrorMessage="1" errorTitle="Fehler" error="Es sind nur Werte zwischen 0 und 99999 zulässig." promptTitle="Menge" prompt="Geben Sie hier das Gewicht des im Produkt verwendeten Materials ein. Es sind nur positive Werte zulässig." sqref="H16:H27" xr:uid="{D41F85ED-5096-47E6-ADC0-5AED2C323C78}">
      <formula1>0</formula1>
      <formula2>99999</formula2>
    </dataValidation>
    <dataValidation type="decimal" allowBlank="1" showInputMessage="1" showErrorMessage="1" errorTitle="Fehler" error="Es sind nur Werte zwischen 0 und 99999 zulässig." promptTitle="Nettogewicht" prompt="Geben Sie hier das Nettogewicht des Produkts in kg pro Stück ein. Der Wert sollte möglichst genau dem deklarierten Gesamtgewicht entsprechen." sqref="D13" xr:uid="{DBFB022F-ACF1-4B82-BA65-6E555D92B5CF}">
      <formula1>0</formula1>
      <formula2>99999</formula2>
    </dataValidation>
    <dataValidation type="whole" allowBlank="1" showInputMessage="1" showErrorMessage="1" errorTitle="Fehler" error="Es sind nur ganzzahlige Werte zwischen 0 und 99999 zulässig." promptTitle="Anzahl" prompt="Geben Sie hier die angebotene Gesamtanzahl des Produkts ein." sqref="H13" xr:uid="{6E8C21F8-1583-41AF-9BDB-867DA89BCC81}">
      <formula1>0</formula1>
      <formula2>99999</formula2>
    </dataValidation>
    <dataValidation allowBlank="1" showInputMessage="1" showErrorMessage="1" promptTitle="Bemerkungen" prompt="Verwenden Sie dieses Feld für Ihre Bemerkungen." sqref="D11:H11" xr:uid="{8D23874E-5280-47EE-A11D-7525979701A0}"/>
    <dataValidation allowBlank="1" showInputMessage="1" showErrorMessage="1" promptTitle="Bezeichnung" prompt="Geben Sie hier eine eindeutige Produktbezeichnung ein. Fassen Sie ähnliche Produkte möglichst zusammen." sqref="D9:H9" xr:uid="{E5C33DD3-F55E-4C6D-A58C-524B10B8F008}"/>
    <dataValidation allowBlank="1" showInputMessage="1" showErrorMessage="1" promptTitle="Bezeichnung" prompt="Bitte geben Sie an, um welche Transportleistung es sich handelt (z.B. Fabrik Genf - Zürich, LKW)" sqref="D30:D32" xr:uid="{04209B87-01D5-4A27-997A-BA9E2EDE64A3}"/>
    <dataValidation type="list" allowBlank="1" showInputMessage="1" showErrorMessage="1" promptTitle="Transportmittel" prompt="Wählen Sie ein Transportmittel aus der Liste." sqref="F30:G32" xr:uid="{E3CA2AC2-609D-4BA0-96DE-D5369E2BA8A7}">
      <formula1>Transporte</formula1>
    </dataValidation>
    <dataValidation type="whole" allowBlank="1" showInputMessage="1" showErrorMessage="1" errorTitle="Fehler" error="Sie müssen ganzzahlige Werte zwischen 0 und 99999 eingeben." promptTitle="Transportdistanz" prompt="Geben Sie die Distanz zwischen Produktionsort und Ort des Kunden in km ein. Falls verschiedene Transportmittel verwendet werden, erfassen Sie diese separat." sqref="H30:H32" xr:uid="{4F441586-03BA-4C4B-AC93-161DD0986974}">
      <formula1>0</formula1>
      <formula2>99999</formula2>
    </dataValidation>
    <dataValidation type="decimal" allowBlank="1" showInputMessage="1" showErrorMessage="1" promptTitle="Materialeffizienz" prompt="Geben Sie hier ein, in welchem Verhältnis Materialinput zu Produktionsoutput stehen (übliche Werte liegen zwischen 70 und 90%). Wenn Sie das Feld leer lassen, werden automatisch Defaultwerte verwendet." sqref="D45" xr:uid="{D6ED4BD9-F221-434B-B8AE-95411CA56397}">
      <formula1>0</formula1>
      <formula2>1</formula2>
    </dataValidation>
    <dataValidation type="decimal" allowBlank="1" showInputMessage="1" showErrorMessage="1" errorTitle="Fehler" error="Sie müssen Werte zwischen 0 und 999 kWh/kg eingeben." promptTitle="Energie Strom" prompt="Geben Sie hier den Wert für den verbrauchten Strom in kWh pro produziertes kg dieses Produkts ein (Werte für die gesamte Produktepalette im Blatt Start erfassen). Wenn Sie das Feld leer lassen, wird automatisch ein Defaultwert verwendet." sqref="F45" xr:uid="{07C28633-AD68-437D-8C02-DC3520D553E8}">
      <formula1>0</formula1>
      <formula2>999</formula2>
    </dataValidation>
    <dataValidation type="decimal" allowBlank="1" showInputMessage="1" showErrorMessage="1" errorTitle="Fehler" error="Sie müssen Werte zwischen 0 und 999 kWh/kg eingeben." promptTitle="Energie Wärme" prompt="Geben Sie hier den Wert für die verbrauchte Wärmeenergie in kWh pro produziertes kg dieses Produkts ein (Werte für die gesamte Produktepalette im Blatt Start erfassen). Wenn Sie das Feld leer lassen, wird automatisch ein Defaultwert verwendet." sqref="G45" xr:uid="{B4E5F183-7B23-4EAD-AB0C-3ED4B5040CA9}">
      <formula1>0</formula1>
      <formula2>999</formula2>
    </dataValidation>
    <dataValidation allowBlank="1" showInputMessage="1" showErrorMessage="1" sqref="F29:G29" xr:uid="{17C29296-DEE1-412D-BB02-5B42D8DD4A1F}"/>
  </dataValidations>
  <pageMargins left="0.23622047244094491" right="0.15748031496062992" top="0.94488188976377963" bottom="0.74803149606299213" header="0.31496062992125984" footer="0.31496062992125984"/>
  <pageSetup paperSize="9" scale="67" fitToHeight="0" orientation="portrait" r:id="rId1"/>
  <headerFooter>
    <oddHeader>&amp;L&amp;G</oddHeader>
    <oddFooter>&amp;L&amp;"Roboto,Standard"&amp;9&amp;D&amp;R&amp;"Roboto,Standard"&amp;9&amp;F</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41" r:id="rId5" name="Check Box 1">
              <controlPr defaultSize="0" autoFill="0" autoLine="0" autoPict="0" altText="Identisch zu den Angaben auf dem Blatt &quot;Start&quot;">
                <anchor moveWithCells="1">
                  <from>
                    <xdr:col>1</xdr:col>
                    <xdr:colOff>219075</xdr:colOff>
                    <xdr:row>43</xdr:row>
                    <xdr:rowOff>200025</xdr:rowOff>
                  </from>
                  <to>
                    <xdr:col>2</xdr:col>
                    <xdr:colOff>1857375</xdr:colOff>
                    <xdr:row>44</xdr:row>
                    <xdr:rowOff>200025</xdr:rowOff>
                  </to>
                </anchor>
              </controlPr>
            </control>
          </mc:Choice>
        </mc:AlternateContent>
        <mc:AlternateContent xmlns:mc="http://schemas.openxmlformats.org/markup-compatibility/2006">
          <mc:Choice Requires="x14">
            <control shapeId="10242" r:id="rId6" name="Check Box 2">
              <controlPr defaultSize="0" autoFill="0" autoLine="0" autoPict="0" altText="Identisch zu den Angaben auf dem Blatt &quot;Start&quot;">
                <anchor moveWithCells="1">
                  <from>
                    <xdr:col>1</xdr:col>
                    <xdr:colOff>209550</xdr:colOff>
                    <xdr:row>34</xdr:row>
                    <xdr:rowOff>171450</xdr:rowOff>
                  </from>
                  <to>
                    <xdr:col>2</xdr:col>
                    <xdr:colOff>1847850</xdr:colOff>
                    <xdr:row>36</xdr:row>
                    <xdr:rowOff>47625</xdr:rowOff>
                  </to>
                </anchor>
              </controlPr>
            </control>
          </mc:Choice>
        </mc:AlternateContent>
        <mc:AlternateContent xmlns:mc="http://schemas.openxmlformats.org/markup-compatibility/2006">
          <mc:Choice Requires="x14">
            <control shapeId="10243" r:id="rId7" name="Check Box 3">
              <controlPr defaultSize="0" autoFill="0" autoLine="0" autoPict="0" altText="Identisch zu den Angaben auf dem Blatt &quot;Start&quot;">
                <anchor moveWithCells="1">
                  <from>
                    <xdr:col>1</xdr:col>
                    <xdr:colOff>209550</xdr:colOff>
                    <xdr:row>38</xdr:row>
                    <xdr:rowOff>142875</xdr:rowOff>
                  </from>
                  <to>
                    <xdr:col>2</xdr:col>
                    <xdr:colOff>1838325</xdr:colOff>
                    <xdr:row>40</xdr:row>
                    <xdr:rowOff>47625</xdr:rowOff>
                  </to>
                </anchor>
              </controlPr>
            </control>
          </mc:Choice>
        </mc:AlternateContent>
        <mc:AlternateContent xmlns:mc="http://schemas.openxmlformats.org/markup-compatibility/2006">
          <mc:Choice Requires="x14">
            <control shapeId="10244" r:id="rId8" name="Check Box 4">
              <controlPr defaultSize="0" autoFill="0" autoLine="0" autoPict="0" altText="Identisch zu den Angaben auf dem Blatt &quot;Start&quot;">
                <anchor moveWithCells="1">
                  <from>
                    <xdr:col>1</xdr:col>
                    <xdr:colOff>219075</xdr:colOff>
                    <xdr:row>30</xdr:row>
                    <xdr:rowOff>161925</xdr:rowOff>
                  </from>
                  <to>
                    <xdr:col>2</xdr:col>
                    <xdr:colOff>1857375</xdr:colOff>
                    <xdr:row>32</xdr:row>
                    <xdr:rowOff>19050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0D775524-FA1C-418A-94D5-219C7F716185}">
            <x14:dataBar minLength="0" maxLength="100" border="1" negativeBarBorderColorSameAsPositive="0">
              <x14:cfvo type="autoMin"/>
              <x14:cfvo type="autoMax"/>
              <x14:borderColor rgb="FF63C384"/>
              <x14:negativeFillColor rgb="FFFF0000"/>
              <x14:negativeBorderColor rgb="FFFF0000"/>
              <x14:axisColor rgb="FF000000"/>
            </x14:dataBar>
          </x14:cfRule>
          <xm:sqref>I52:I55</xm:sqref>
        </x14:conditionalFormatting>
        <x14:conditionalFormatting xmlns:xm="http://schemas.microsoft.com/office/excel/2006/main">
          <x14:cfRule type="dataBar" id="{8901F7D9-909E-4500-A6B4-BC88CF44CB9F}">
            <x14:dataBar minLength="0" maxLength="100" border="1" negativeBarBorderColorSameAsPositive="0">
              <x14:cfvo type="autoMin"/>
              <x14:cfvo type="autoMax"/>
              <x14:borderColor rgb="FF63C384"/>
              <x14:negativeFillColor rgb="FFFF0000"/>
              <x14:negativeBorderColor rgb="FFFF0000"/>
              <x14:axisColor rgb="FF000000"/>
            </x14:dataBar>
          </x14:cfRule>
          <xm:sqref>I56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outlinePr summaryRight="0"/>
    <pageSetUpPr fitToPage="1"/>
  </sheetPr>
  <dimension ref="A1:AA109"/>
  <sheetViews>
    <sheetView topLeftCell="A50" zoomScaleNormal="100" zoomScaleSheetLayoutView="75" workbookViewId="0">
      <selection sqref="A1:X97"/>
    </sheetView>
  </sheetViews>
  <sheetFormatPr baseColWidth="10" defaultColWidth="11.42578125" defaultRowHeight="12.75" outlineLevelRow="1" outlineLevelCol="1"/>
  <cols>
    <col min="1" max="1" width="11" style="31" customWidth="1" outlineLevel="1"/>
    <col min="2" max="2" width="53.140625" style="32" customWidth="1"/>
    <col min="3" max="3" width="11.42578125" style="22" customWidth="1" outlineLevel="1"/>
    <col min="4" max="4" width="8.140625" style="32" customWidth="1" outlineLevel="1" collapsed="1"/>
    <col min="5" max="5" width="12" style="33" customWidth="1"/>
    <col min="6" max="6" width="7.140625" style="22" customWidth="1"/>
    <col min="7" max="9" width="10.7109375" style="31" customWidth="1"/>
    <col min="10" max="12" width="10.7109375" style="31" customWidth="1" outlineLevel="1"/>
    <col min="13" max="21" width="10.7109375" style="31" customWidth="1"/>
    <col min="22" max="16384" width="11.42578125" style="31"/>
  </cols>
  <sheetData>
    <row r="1" spans="1:24" ht="15.75" customHeight="1">
      <c r="A1" s="46"/>
      <c r="B1" s="47"/>
      <c r="C1" s="48"/>
      <c r="D1" s="47"/>
      <c r="E1" s="49"/>
      <c r="F1" s="48"/>
      <c r="G1" s="46"/>
      <c r="H1" s="46"/>
      <c r="I1" s="46"/>
      <c r="J1" s="46"/>
      <c r="K1" s="46"/>
      <c r="L1" s="46"/>
      <c r="M1" s="46"/>
      <c r="N1" s="46"/>
      <c r="O1" s="46"/>
      <c r="P1" s="46"/>
      <c r="Q1" s="46"/>
      <c r="R1" s="46"/>
      <c r="S1" s="46"/>
      <c r="T1" s="46"/>
      <c r="U1" s="46"/>
      <c r="V1" s="46"/>
      <c r="W1" s="46"/>
      <c r="X1" s="46"/>
    </row>
    <row r="2" spans="1:24" ht="15.75" customHeight="1">
      <c r="A2" s="46"/>
      <c r="B2" s="47"/>
      <c r="C2" s="48"/>
      <c r="D2" s="47"/>
      <c r="E2" s="49"/>
      <c r="F2" s="48"/>
      <c r="G2" s="46"/>
      <c r="H2" s="46"/>
      <c r="I2" s="46"/>
      <c r="J2" s="46"/>
      <c r="K2" s="46"/>
      <c r="L2" s="46"/>
      <c r="M2" s="46"/>
      <c r="N2" s="46"/>
      <c r="O2" s="46"/>
      <c r="P2" s="46"/>
      <c r="Q2" s="46"/>
      <c r="R2" s="46"/>
      <c r="S2" s="46"/>
      <c r="T2" s="46"/>
      <c r="U2" s="46"/>
      <c r="V2" s="46"/>
      <c r="W2" s="46"/>
      <c r="X2" s="46"/>
    </row>
    <row r="3" spans="1:24" ht="15.75" customHeight="1">
      <c r="A3" s="46"/>
      <c r="B3" s="47"/>
      <c r="C3" s="48"/>
      <c r="D3" s="47"/>
      <c r="E3" s="49"/>
      <c r="F3" s="48"/>
      <c r="G3" s="46"/>
      <c r="H3" s="46"/>
      <c r="I3" s="46"/>
      <c r="J3" s="46"/>
      <c r="K3" s="46"/>
      <c r="L3" s="46"/>
      <c r="M3" s="46"/>
      <c r="N3" s="46"/>
      <c r="O3" s="46"/>
      <c r="P3" s="46"/>
      <c r="Q3" s="46"/>
      <c r="R3" s="46"/>
      <c r="S3" s="46"/>
      <c r="T3" s="46"/>
      <c r="U3" s="46"/>
      <c r="V3" s="46"/>
      <c r="W3" s="46"/>
      <c r="X3" s="46"/>
    </row>
    <row r="4" spans="1:24" ht="15.75" customHeight="1">
      <c r="A4" s="46"/>
      <c r="B4" s="47"/>
      <c r="C4" s="48"/>
      <c r="D4" s="47"/>
      <c r="E4" s="49"/>
      <c r="F4" s="48"/>
      <c r="G4" s="46"/>
      <c r="H4" s="46"/>
      <c r="I4" s="46"/>
      <c r="J4" s="46"/>
      <c r="K4" s="46"/>
      <c r="L4" s="46"/>
      <c r="M4" s="46"/>
      <c r="N4" s="46"/>
      <c r="O4" s="46"/>
      <c r="P4" s="46"/>
      <c r="Q4" s="46"/>
      <c r="R4" s="46"/>
      <c r="S4" s="46"/>
      <c r="T4" s="46"/>
      <c r="U4" s="46"/>
      <c r="V4" s="46"/>
      <c r="W4" s="46"/>
      <c r="X4" s="46"/>
    </row>
    <row r="5" spans="1:24" ht="15.75" customHeight="1" thickBot="1">
      <c r="A5" s="46"/>
      <c r="B5" s="47"/>
      <c r="C5" s="48"/>
      <c r="D5" s="47"/>
      <c r="E5" s="49"/>
      <c r="F5" s="48"/>
      <c r="G5" s="46"/>
      <c r="H5" s="46"/>
      <c r="I5" s="46"/>
      <c r="J5" s="46"/>
      <c r="K5" s="46"/>
      <c r="L5" s="46"/>
      <c r="M5" s="46"/>
      <c r="N5" s="46"/>
      <c r="O5" s="46"/>
      <c r="P5" s="46"/>
      <c r="Q5" s="46"/>
      <c r="R5" s="46"/>
      <c r="S5" s="46"/>
      <c r="T5" s="46"/>
      <c r="U5" s="46"/>
      <c r="V5" s="46"/>
      <c r="W5" s="46"/>
      <c r="X5" s="46"/>
    </row>
    <row r="6" spans="1:24" s="38" customFormat="1" ht="20.25">
      <c r="A6" s="35"/>
      <c r="B6" s="34" t="s">
        <v>5</v>
      </c>
      <c r="C6" s="35"/>
      <c r="D6" s="36"/>
      <c r="E6" s="37"/>
      <c r="F6" s="35"/>
      <c r="G6" s="37"/>
      <c r="H6" s="35"/>
      <c r="I6" s="35"/>
      <c r="J6" s="37"/>
      <c r="K6" s="35"/>
      <c r="L6" s="35"/>
      <c r="M6" s="37" t="s">
        <v>271</v>
      </c>
      <c r="N6" s="35"/>
      <c r="O6" s="35"/>
      <c r="P6" s="35"/>
      <c r="Q6" s="35"/>
      <c r="R6" s="35"/>
      <c r="S6" s="35"/>
      <c r="T6" s="35"/>
      <c r="U6" s="35"/>
      <c r="V6" s="35"/>
      <c r="W6" s="35"/>
      <c r="X6" s="35"/>
    </row>
    <row r="7" spans="1:24" s="44" customFormat="1" ht="15.75">
      <c r="A7" s="39"/>
      <c r="B7" s="40"/>
      <c r="C7" s="41"/>
      <c r="D7" s="42"/>
      <c r="E7" s="42"/>
      <c r="F7" s="41"/>
      <c r="G7" s="42"/>
      <c r="H7" s="41"/>
      <c r="I7" s="41"/>
      <c r="J7" s="41"/>
      <c r="K7" s="41"/>
      <c r="L7" s="43"/>
      <c r="M7" s="41"/>
      <c r="N7" s="41"/>
      <c r="O7" s="43"/>
      <c r="P7" s="43"/>
      <c r="Q7" s="41"/>
      <c r="R7" s="41"/>
      <c r="S7" s="41"/>
      <c r="T7" s="271"/>
      <c r="U7" s="271"/>
      <c r="V7" s="271"/>
      <c r="W7" s="271"/>
      <c r="X7" s="271"/>
    </row>
    <row r="8" spans="1:24" s="22" customFormat="1" ht="12.75" hidden="1" customHeight="1" outlineLevel="1">
      <c r="A8" s="18"/>
      <c r="B8" s="19"/>
      <c r="C8" s="20"/>
      <c r="D8" s="21"/>
      <c r="E8" s="21"/>
      <c r="G8" s="23"/>
      <c r="H8" s="22" t="s">
        <v>1</v>
      </c>
      <c r="I8" s="22" t="s">
        <v>1</v>
      </c>
      <c r="K8" s="22" t="s">
        <v>1</v>
      </c>
      <c r="L8" s="22" t="s">
        <v>1</v>
      </c>
      <c r="N8" s="22" t="s">
        <v>6</v>
      </c>
      <c r="O8" s="22" t="s">
        <v>6</v>
      </c>
      <c r="Q8" s="22" t="s">
        <v>7</v>
      </c>
      <c r="R8" s="24" t="s">
        <v>7</v>
      </c>
      <c r="T8" s="270" t="s">
        <v>256</v>
      </c>
      <c r="U8" s="22" t="s">
        <v>8</v>
      </c>
    </row>
    <row r="9" spans="1:24" s="22" customFormat="1" ht="25.5" customHeight="1" collapsed="1">
      <c r="A9" s="50" t="s">
        <v>9</v>
      </c>
      <c r="B9" s="543" t="s">
        <v>269</v>
      </c>
      <c r="C9" s="545" t="s">
        <v>10</v>
      </c>
      <c r="D9" s="547" t="s">
        <v>11</v>
      </c>
      <c r="E9" s="550" t="s">
        <v>270</v>
      </c>
      <c r="F9" s="550"/>
      <c r="G9" s="550"/>
      <c r="H9" s="551" t="s">
        <v>13</v>
      </c>
      <c r="I9" s="552"/>
      <c r="J9" s="552"/>
      <c r="K9" s="552"/>
      <c r="L9" s="552"/>
      <c r="M9" s="552"/>
      <c r="N9" s="552"/>
      <c r="O9" s="552"/>
      <c r="P9" s="553"/>
      <c r="Q9" s="530" t="s">
        <v>14</v>
      </c>
      <c r="R9" s="530"/>
      <c r="S9" s="530"/>
      <c r="T9" s="272" t="s">
        <v>256</v>
      </c>
      <c r="U9" s="492" t="s">
        <v>214</v>
      </c>
      <c r="V9" s="493"/>
      <c r="W9" s="493"/>
      <c r="X9" s="494"/>
    </row>
    <row r="10" spans="1:24" s="22" customFormat="1" ht="12.75" customHeight="1">
      <c r="A10" s="564" t="s">
        <v>15</v>
      </c>
      <c r="B10" s="544"/>
      <c r="C10" s="546"/>
      <c r="D10" s="548"/>
      <c r="E10" s="565" t="s">
        <v>16</v>
      </c>
      <c r="F10" s="566"/>
      <c r="G10" s="567"/>
      <c r="H10" s="542" t="s">
        <v>17</v>
      </c>
      <c r="I10" s="542"/>
      <c r="J10" s="542"/>
      <c r="K10" s="542" t="s">
        <v>18</v>
      </c>
      <c r="L10" s="542"/>
      <c r="M10" s="542"/>
      <c r="N10" s="542" t="s">
        <v>19</v>
      </c>
      <c r="O10" s="542"/>
      <c r="P10" s="542"/>
      <c r="Q10" s="531" t="s">
        <v>20</v>
      </c>
      <c r="R10" s="532"/>
      <c r="S10" s="532"/>
      <c r="T10" s="273"/>
      <c r="U10" s="495"/>
      <c r="V10" s="496"/>
      <c r="W10" s="496"/>
      <c r="X10" s="497"/>
    </row>
    <row r="11" spans="1:24" s="22" customFormat="1" ht="12.75" customHeight="1">
      <c r="A11" s="564"/>
      <c r="B11" s="544"/>
      <c r="C11" s="554" t="s">
        <v>21</v>
      </c>
      <c r="D11" s="548"/>
      <c r="E11" s="568"/>
      <c r="F11" s="569"/>
      <c r="G11" s="570"/>
      <c r="H11" s="529" t="s">
        <v>22</v>
      </c>
      <c r="I11" s="529"/>
      <c r="J11" s="529"/>
      <c r="K11" s="529" t="s">
        <v>23</v>
      </c>
      <c r="L11" s="529"/>
      <c r="M11" s="529"/>
      <c r="N11" s="529" t="s">
        <v>24</v>
      </c>
      <c r="O11" s="529"/>
      <c r="P11" s="529"/>
      <c r="Q11" s="529" t="s">
        <v>25</v>
      </c>
      <c r="R11" s="529"/>
      <c r="S11" s="529"/>
      <c r="T11" s="274"/>
      <c r="U11" s="498"/>
      <c r="V11" s="499"/>
      <c r="W11" s="499"/>
      <c r="X11" s="500"/>
    </row>
    <row r="12" spans="1:24" s="22" customFormat="1" ht="22.5">
      <c r="A12" s="51"/>
      <c r="B12" s="52"/>
      <c r="C12" s="554"/>
      <c r="D12" s="548"/>
      <c r="E12" s="25" t="s">
        <v>1</v>
      </c>
      <c r="F12" s="26" t="s">
        <v>4</v>
      </c>
      <c r="G12" s="26" t="s">
        <v>2</v>
      </c>
      <c r="H12" s="56" t="s">
        <v>1</v>
      </c>
      <c r="I12" s="57" t="s">
        <v>4</v>
      </c>
      <c r="J12" s="57" t="s">
        <v>2</v>
      </c>
      <c r="K12" s="56" t="s">
        <v>1</v>
      </c>
      <c r="L12" s="57" t="s">
        <v>4</v>
      </c>
      <c r="M12" s="57" t="s">
        <v>2</v>
      </c>
      <c r="N12" s="56" t="s">
        <v>1</v>
      </c>
      <c r="O12" s="57" t="s">
        <v>4</v>
      </c>
      <c r="P12" s="57" t="s">
        <v>2</v>
      </c>
      <c r="Q12" s="56" t="s">
        <v>1</v>
      </c>
      <c r="R12" s="57" t="s">
        <v>4</v>
      </c>
      <c r="S12" s="57" t="s">
        <v>2</v>
      </c>
      <c r="T12" s="275" t="s">
        <v>257</v>
      </c>
      <c r="U12" s="501"/>
      <c r="V12" s="502"/>
      <c r="W12" s="502"/>
      <c r="X12" s="503"/>
    </row>
    <row r="13" spans="1:24" s="29" customFormat="1" ht="22.5">
      <c r="A13" s="53"/>
      <c r="B13" s="52"/>
      <c r="C13" s="554"/>
      <c r="D13" s="548"/>
      <c r="E13" s="27" t="s">
        <v>1</v>
      </c>
      <c r="F13" s="28" t="s">
        <v>26</v>
      </c>
      <c r="G13" s="28" t="s">
        <v>27</v>
      </c>
      <c r="H13" s="58" t="s">
        <v>1</v>
      </c>
      <c r="I13" s="59" t="s">
        <v>26</v>
      </c>
      <c r="J13" s="59" t="s">
        <v>27</v>
      </c>
      <c r="K13" s="58" t="s">
        <v>1</v>
      </c>
      <c r="L13" s="59" t="s">
        <v>26</v>
      </c>
      <c r="M13" s="59" t="s">
        <v>27</v>
      </c>
      <c r="N13" s="58" t="s">
        <v>1</v>
      </c>
      <c r="O13" s="59" t="s">
        <v>26</v>
      </c>
      <c r="P13" s="59" t="s">
        <v>27</v>
      </c>
      <c r="Q13" s="58" t="s">
        <v>1</v>
      </c>
      <c r="R13" s="59" t="s">
        <v>26</v>
      </c>
      <c r="S13" s="59" t="s">
        <v>27</v>
      </c>
      <c r="T13" s="276"/>
      <c r="U13" s="504"/>
      <c r="V13" s="505"/>
      <c r="W13" s="505"/>
      <c r="X13" s="506"/>
    </row>
    <row r="14" spans="1:24" s="29" customFormat="1" ht="15">
      <c r="A14" s="54"/>
      <c r="B14" s="45"/>
      <c r="C14" s="55"/>
      <c r="D14" s="549"/>
      <c r="E14" s="30" t="s">
        <v>16</v>
      </c>
      <c r="F14" s="30" t="s">
        <v>16</v>
      </c>
      <c r="G14" s="30" t="s">
        <v>16</v>
      </c>
      <c r="H14" s="60" t="s">
        <v>28</v>
      </c>
      <c r="I14" s="60" t="s">
        <v>28</v>
      </c>
      <c r="J14" s="60" t="s">
        <v>28</v>
      </c>
      <c r="K14" s="60" t="s">
        <v>28</v>
      </c>
      <c r="L14" s="60" t="s">
        <v>28</v>
      </c>
      <c r="M14" s="60" t="s">
        <v>28</v>
      </c>
      <c r="N14" s="60" t="s">
        <v>28</v>
      </c>
      <c r="O14" s="60" t="s">
        <v>28</v>
      </c>
      <c r="P14" s="60" t="s">
        <v>28</v>
      </c>
      <c r="Q14" s="61" t="s">
        <v>29</v>
      </c>
      <c r="R14" s="61" t="s">
        <v>29</v>
      </c>
      <c r="S14" s="61" t="s">
        <v>29</v>
      </c>
      <c r="T14" s="144" t="s">
        <v>258</v>
      </c>
      <c r="U14" s="507"/>
      <c r="V14" s="508"/>
      <c r="W14" s="508"/>
      <c r="X14" s="509"/>
    </row>
    <row r="15" spans="1:24" ht="14.25">
      <c r="A15" s="72" t="s">
        <v>61</v>
      </c>
      <c r="B15" s="73" t="s">
        <v>103</v>
      </c>
      <c r="C15" s="74" t="s">
        <v>30</v>
      </c>
      <c r="D15" s="75"/>
      <c r="E15" s="76"/>
      <c r="F15" s="76"/>
      <c r="G15" s="76"/>
      <c r="H15" s="76"/>
      <c r="I15" s="77"/>
      <c r="J15" s="76"/>
      <c r="K15" s="76"/>
      <c r="L15" s="77"/>
      <c r="M15" s="76"/>
      <c r="N15" s="78"/>
      <c r="O15" s="79"/>
      <c r="P15" s="79"/>
      <c r="Q15" s="80"/>
      <c r="R15" s="80"/>
      <c r="S15" s="80"/>
      <c r="T15" s="80"/>
      <c r="U15" s="510"/>
      <c r="V15" s="511"/>
      <c r="W15" s="511"/>
      <c r="X15" s="512"/>
    </row>
    <row r="16" spans="1:24">
      <c r="A16" s="224" t="s">
        <v>418</v>
      </c>
      <c r="B16" s="172" t="s">
        <v>185</v>
      </c>
      <c r="C16" s="173">
        <v>2690</v>
      </c>
      <c r="D16" s="174" t="s">
        <v>31</v>
      </c>
      <c r="E16" s="175">
        <v>12378.069461999999</v>
      </c>
      <c r="F16" s="176">
        <v>12358.123</v>
      </c>
      <c r="G16" s="225">
        <v>19.946462</v>
      </c>
      <c r="H16" s="177">
        <v>23.667708278011666</v>
      </c>
      <c r="I16" s="178">
        <v>23.636216427249998</v>
      </c>
      <c r="J16" s="178">
        <v>3.2276223945000002E-2</v>
      </c>
      <c r="K16" s="177">
        <v>4.2889562342944449</v>
      </c>
      <c r="L16" s="178">
        <v>4.2881718611111115</v>
      </c>
      <c r="M16" s="178">
        <v>7.8437318333333332E-4</v>
      </c>
      <c r="N16" s="177">
        <v>19.379536416900557</v>
      </c>
      <c r="O16" s="178">
        <v>19.348044566138888</v>
      </c>
      <c r="P16" s="181">
        <v>3.1491850761666669E-2</v>
      </c>
      <c r="Q16" s="182">
        <v>4.4769770209999997</v>
      </c>
      <c r="R16" s="183">
        <v>4.4689952999999996</v>
      </c>
      <c r="S16" s="181">
        <v>7.9817210000000006E-3</v>
      </c>
      <c r="T16" s="181">
        <v>0</v>
      </c>
      <c r="U16" s="486"/>
      <c r="V16" s="487"/>
      <c r="W16" s="487"/>
      <c r="X16" s="488"/>
    </row>
    <row r="17" spans="1:24">
      <c r="A17" s="81" t="s">
        <v>63</v>
      </c>
      <c r="B17" s="82" t="s">
        <v>259</v>
      </c>
      <c r="C17" s="83">
        <v>2690</v>
      </c>
      <c r="D17" s="84" t="s">
        <v>31</v>
      </c>
      <c r="E17" s="283">
        <v>11500</v>
      </c>
      <c r="F17" s="284">
        <v>11400</v>
      </c>
      <c r="G17" s="285">
        <v>19.8</v>
      </c>
      <c r="H17" s="286">
        <v>30.8</v>
      </c>
      <c r="I17" s="287">
        <v>30.8</v>
      </c>
      <c r="J17" s="287">
        <v>3.2099999999999997E-2</v>
      </c>
      <c r="K17" s="286">
        <v>5.24</v>
      </c>
      <c r="L17" s="287">
        <v>5.24</v>
      </c>
      <c r="M17" s="287">
        <v>7.7099999999999998E-4</v>
      </c>
      <c r="N17" s="286">
        <v>25.6</v>
      </c>
      <c r="O17" s="287">
        <v>25.6</v>
      </c>
      <c r="P17" s="287">
        <v>3.1399999999999997E-2</v>
      </c>
      <c r="Q17" s="288">
        <v>5.69</v>
      </c>
      <c r="R17" s="289">
        <v>5.69</v>
      </c>
      <c r="S17" s="84">
        <v>7.92E-3</v>
      </c>
      <c r="T17" s="269">
        <v>0</v>
      </c>
      <c r="U17" s="480"/>
      <c r="V17" s="481"/>
      <c r="W17" s="481"/>
      <c r="X17" s="482"/>
    </row>
    <row r="18" spans="1:24">
      <c r="A18" s="220" t="s">
        <v>208</v>
      </c>
      <c r="B18" s="187" t="s">
        <v>186</v>
      </c>
      <c r="C18" s="211">
        <v>2690</v>
      </c>
      <c r="D18" s="212" t="s">
        <v>31</v>
      </c>
      <c r="E18" s="213">
        <f t="shared" ref="E18:T18" si="0">E17+E106*FaktAlu</f>
        <v>14009.293680297398</v>
      </c>
      <c r="F18" s="214">
        <f t="shared" si="0"/>
        <v>13909.293680297398</v>
      </c>
      <c r="G18" s="221">
        <f t="shared" si="0"/>
        <v>19.8</v>
      </c>
      <c r="H18" s="215">
        <f t="shared" si="0"/>
        <v>38.904089219330857</v>
      </c>
      <c r="I18" s="216">
        <f t="shared" si="0"/>
        <v>38.904089219330857</v>
      </c>
      <c r="J18" s="222">
        <f t="shared" si="0"/>
        <v>3.2099999999999997E-2</v>
      </c>
      <c r="K18" s="215">
        <f t="shared" si="0"/>
        <v>5.4979925650557622</v>
      </c>
      <c r="L18" s="216">
        <f t="shared" si="0"/>
        <v>5.4979925650557622</v>
      </c>
      <c r="M18" s="222">
        <f t="shared" si="0"/>
        <v>7.7099999999999998E-4</v>
      </c>
      <c r="N18" s="215">
        <f t="shared" si="0"/>
        <v>33.44386617100372</v>
      </c>
      <c r="O18" s="216">
        <f t="shared" si="0"/>
        <v>33.44386617100372</v>
      </c>
      <c r="P18" s="223">
        <f t="shared" si="0"/>
        <v>3.1399999999999997E-2</v>
      </c>
      <c r="Q18" s="218">
        <f t="shared" si="0"/>
        <v>7.3182527881040897</v>
      </c>
      <c r="R18" s="219">
        <f t="shared" si="0"/>
        <v>7.3182527881040897</v>
      </c>
      <c r="S18" s="223">
        <f t="shared" si="0"/>
        <v>7.92E-3</v>
      </c>
      <c r="T18" s="223">
        <f t="shared" si="0"/>
        <v>0</v>
      </c>
      <c r="U18" s="483"/>
      <c r="V18" s="484"/>
      <c r="W18" s="484"/>
      <c r="X18" s="485"/>
    </row>
    <row r="19" spans="1:24">
      <c r="A19" s="81" t="s">
        <v>64</v>
      </c>
      <c r="B19" s="82" t="s">
        <v>183</v>
      </c>
      <c r="C19" s="83">
        <v>7900</v>
      </c>
      <c r="D19" s="84" t="s">
        <v>31</v>
      </c>
      <c r="E19" s="283">
        <v>9700</v>
      </c>
      <c r="F19" s="284">
        <v>9690</v>
      </c>
      <c r="G19" s="285">
        <v>11.1</v>
      </c>
      <c r="H19" s="290">
        <v>16.899999999999999</v>
      </c>
      <c r="I19" s="287">
        <v>16.899999999999999</v>
      </c>
      <c r="J19" s="287">
        <v>2.7799999999999998E-2</v>
      </c>
      <c r="K19" s="290">
        <v>2.38</v>
      </c>
      <c r="L19" s="287">
        <v>2.38</v>
      </c>
      <c r="M19" s="287">
        <v>5.6700000000000001E-4</v>
      </c>
      <c r="N19" s="290">
        <v>14.6</v>
      </c>
      <c r="O19" s="287">
        <v>14.5</v>
      </c>
      <c r="P19" s="287">
        <v>2.7199999999999998E-2</v>
      </c>
      <c r="Q19" s="288">
        <v>4.12</v>
      </c>
      <c r="R19" s="289">
        <v>4.1100000000000003</v>
      </c>
      <c r="S19" s="84">
        <v>6.9300000000000004E-3</v>
      </c>
      <c r="T19" s="269">
        <v>0</v>
      </c>
      <c r="U19" s="480"/>
      <c r="V19" s="481"/>
      <c r="W19" s="481"/>
      <c r="X19" s="482"/>
    </row>
    <row r="20" spans="1:24">
      <c r="A20" s="81" t="s">
        <v>65</v>
      </c>
      <c r="B20" s="82" t="s">
        <v>181</v>
      </c>
      <c r="C20" s="83">
        <v>7850</v>
      </c>
      <c r="D20" s="84" t="s">
        <v>31</v>
      </c>
      <c r="E20" s="283">
        <v>5260</v>
      </c>
      <c r="F20" s="284">
        <v>5250</v>
      </c>
      <c r="G20" s="285">
        <v>11.1</v>
      </c>
      <c r="H20" s="290">
        <v>8.41</v>
      </c>
      <c r="I20" s="287">
        <v>8.3800000000000008</v>
      </c>
      <c r="J20" s="287">
        <v>2.7799999999999998E-2</v>
      </c>
      <c r="K20" s="290">
        <v>0.61199999999999999</v>
      </c>
      <c r="L20" s="287">
        <v>0.61199999999999999</v>
      </c>
      <c r="M20" s="287">
        <v>5.6700000000000001E-4</v>
      </c>
      <c r="N20" s="290">
        <v>7.8</v>
      </c>
      <c r="O20" s="287">
        <v>7.77</v>
      </c>
      <c r="P20" s="287">
        <v>2.7199999999999998E-2</v>
      </c>
      <c r="Q20" s="288">
        <v>2.8</v>
      </c>
      <c r="R20" s="289">
        <v>2.79</v>
      </c>
      <c r="S20" s="84">
        <v>6.9300000000000004E-3</v>
      </c>
      <c r="T20" s="269">
        <v>0</v>
      </c>
      <c r="U20" s="480"/>
      <c r="V20" s="481"/>
      <c r="W20" s="481"/>
      <c r="X20" s="482"/>
    </row>
    <row r="21" spans="1:24">
      <c r="A21" s="81" t="s">
        <v>66</v>
      </c>
      <c r="B21" s="82" t="s">
        <v>182</v>
      </c>
      <c r="C21" s="83">
        <v>7850</v>
      </c>
      <c r="D21" s="84" t="s">
        <v>31</v>
      </c>
      <c r="E21" s="283">
        <v>15200</v>
      </c>
      <c r="F21" s="284">
        <v>15200</v>
      </c>
      <c r="G21" s="285">
        <v>11.1</v>
      </c>
      <c r="H21" s="290">
        <v>17</v>
      </c>
      <c r="I21" s="287">
        <v>17</v>
      </c>
      <c r="J21" s="287">
        <v>2.7799999999999998E-2</v>
      </c>
      <c r="K21" s="290">
        <v>1.37</v>
      </c>
      <c r="L21" s="287">
        <v>1.37</v>
      </c>
      <c r="M21" s="287">
        <v>5.6700000000000001E-4</v>
      </c>
      <c r="N21" s="290">
        <v>15.6</v>
      </c>
      <c r="O21" s="287">
        <v>15.6</v>
      </c>
      <c r="P21" s="287">
        <v>2.7199999999999998E-2</v>
      </c>
      <c r="Q21" s="288">
        <v>4.49</v>
      </c>
      <c r="R21" s="289">
        <v>4.4800000000000004</v>
      </c>
      <c r="S21" s="84">
        <v>6.9300000000000004E-3</v>
      </c>
      <c r="T21" s="269">
        <v>0</v>
      </c>
      <c r="U21" s="480"/>
      <c r="V21" s="481"/>
      <c r="W21" s="481"/>
      <c r="X21" s="482"/>
    </row>
    <row r="22" spans="1:24">
      <c r="A22" s="220" t="s">
        <v>209</v>
      </c>
      <c r="B22" s="187" t="s">
        <v>184</v>
      </c>
      <c r="C22" s="211">
        <v>7850</v>
      </c>
      <c r="D22" s="212" t="s">
        <v>31</v>
      </c>
      <c r="E22" s="213">
        <f t="shared" ref="E22:T22" si="1">E20+E107*FaktChrom</f>
        <v>5662.5477707006366</v>
      </c>
      <c r="F22" s="213">
        <f t="shared" si="1"/>
        <v>5652.5477707006366</v>
      </c>
      <c r="G22" s="213">
        <f t="shared" si="1"/>
        <v>11.1</v>
      </c>
      <c r="H22" s="215">
        <f t="shared" si="1"/>
        <v>8.7475796178343952</v>
      </c>
      <c r="I22" s="216">
        <f t="shared" si="1"/>
        <v>8.7175796178343958</v>
      </c>
      <c r="J22" s="222">
        <f t="shared" si="1"/>
        <v>2.7799999999999998E-2</v>
      </c>
      <c r="K22" s="215">
        <f t="shared" si="1"/>
        <v>0.66645859872611468</v>
      </c>
      <c r="L22" s="216">
        <f t="shared" si="1"/>
        <v>0.66645859872611468</v>
      </c>
      <c r="M22" s="222">
        <f t="shared" si="1"/>
        <v>5.6700000000000001E-4</v>
      </c>
      <c r="N22" s="215">
        <f t="shared" si="1"/>
        <v>8.0834394904458602</v>
      </c>
      <c r="O22" s="216">
        <f t="shared" si="1"/>
        <v>8.0534394904458591</v>
      </c>
      <c r="P22" s="223">
        <f t="shared" si="1"/>
        <v>2.7199999999999998E-2</v>
      </c>
      <c r="Q22" s="218">
        <f t="shared" si="1"/>
        <v>2.8387898089171975</v>
      </c>
      <c r="R22" s="219">
        <f t="shared" si="1"/>
        <v>2.8287898089171977</v>
      </c>
      <c r="S22" s="223">
        <f t="shared" si="1"/>
        <v>6.9300000000000004E-3</v>
      </c>
      <c r="T22" s="223">
        <f t="shared" si="1"/>
        <v>0</v>
      </c>
      <c r="U22" s="483"/>
      <c r="V22" s="484"/>
      <c r="W22" s="484"/>
      <c r="X22" s="485"/>
    </row>
    <row r="23" spans="1:24">
      <c r="A23" s="220" t="s">
        <v>210</v>
      </c>
      <c r="B23" s="187" t="s">
        <v>187</v>
      </c>
      <c r="C23" s="211">
        <v>7850</v>
      </c>
      <c r="D23" s="212" t="s">
        <v>31</v>
      </c>
      <c r="E23" s="213">
        <f t="shared" ref="E23:T23" si="2">E20+E106*FaktStahl</f>
        <v>6406.496815286624</v>
      </c>
      <c r="F23" s="214">
        <f t="shared" si="2"/>
        <v>6396.496815286624</v>
      </c>
      <c r="G23" s="221">
        <f t="shared" si="2"/>
        <v>11.1</v>
      </c>
      <c r="H23" s="215">
        <f t="shared" si="2"/>
        <v>12.112760084925691</v>
      </c>
      <c r="I23" s="216">
        <f t="shared" si="2"/>
        <v>12.082760084925692</v>
      </c>
      <c r="J23" s="222">
        <f t="shared" si="2"/>
        <v>2.7799999999999998E-2</v>
      </c>
      <c r="K23" s="215">
        <f t="shared" si="2"/>
        <v>0.7298768577494692</v>
      </c>
      <c r="L23" s="216">
        <f t="shared" si="2"/>
        <v>0.7298768577494692</v>
      </c>
      <c r="M23" s="222">
        <f t="shared" si="2"/>
        <v>5.6700000000000001E-4</v>
      </c>
      <c r="N23" s="215">
        <f t="shared" si="2"/>
        <v>11.383864118895966</v>
      </c>
      <c r="O23" s="216">
        <f t="shared" si="2"/>
        <v>11.353864118895967</v>
      </c>
      <c r="P23" s="223">
        <f t="shared" si="2"/>
        <v>2.7199999999999998E-2</v>
      </c>
      <c r="Q23" s="218">
        <f t="shared" si="2"/>
        <v>3.5439490445859869</v>
      </c>
      <c r="R23" s="219">
        <f t="shared" si="2"/>
        <v>3.5339490445859871</v>
      </c>
      <c r="S23" s="223">
        <f t="shared" si="2"/>
        <v>6.9300000000000004E-3</v>
      </c>
      <c r="T23" s="223">
        <f t="shared" si="2"/>
        <v>0</v>
      </c>
      <c r="U23" s="483"/>
      <c r="V23" s="484"/>
      <c r="W23" s="484"/>
      <c r="X23" s="485"/>
    </row>
    <row r="24" spans="1:24">
      <c r="A24" s="98" t="s">
        <v>83</v>
      </c>
      <c r="B24" s="82" t="s">
        <v>84</v>
      </c>
      <c r="C24" s="83">
        <v>7850</v>
      </c>
      <c r="D24" s="84" t="s">
        <v>31</v>
      </c>
      <c r="E24" s="283">
        <v>5660</v>
      </c>
      <c r="F24" s="284">
        <v>5650</v>
      </c>
      <c r="G24" s="284">
        <v>11.1</v>
      </c>
      <c r="H24" s="290">
        <v>5.74</v>
      </c>
      <c r="I24" s="287">
        <v>5.72</v>
      </c>
      <c r="J24" s="287">
        <v>2.7799999999999998E-2</v>
      </c>
      <c r="K24" s="290">
        <v>0.26800000000000002</v>
      </c>
      <c r="L24" s="287">
        <v>0.26700000000000002</v>
      </c>
      <c r="M24" s="287">
        <v>5.6700000000000001E-4</v>
      </c>
      <c r="N24" s="290">
        <v>5.48</v>
      </c>
      <c r="O24" s="287">
        <v>5.45</v>
      </c>
      <c r="P24" s="287">
        <v>2.7199999999999998E-2</v>
      </c>
      <c r="Q24" s="288">
        <v>2.09</v>
      </c>
      <c r="R24" s="289">
        <v>2.09</v>
      </c>
      <c r="S24" s="289">
        <v>6.9300000000000004E-3</v>
      </c>
      <c r="T24" s="269">
        <v>0</v>
      </c>
      <c r="U24" s="516"/>
      <c r="V24" s="517"/>
      <c r="W24" s="517"/>
      <c r="X24" s="518"/>
    </row>
    <row r="25" spans="1:24" ht="14.25">
      <c r="A25" s="72" t="s">
        <v>67</v>
      </c>
      <c r="B25" s="94" t="s">
        <v>105</v>
      </c>
      <c r="C25" s="74" t="s">
        <v>30</v>
      </c>
      <c r="D25" s="75"/>
      <c r="E25" s="95"/>
      <c r="F25" s="95"/>
      <c r="G25" s="95"/>
      <c r="H25" s="95"/>
      <c r="I25" s="79"/>
      <c r="J25" s="96"/>
      <c r="K25" s="95"/>
      <c r="L25" s="79"/>
      <c r="M25" s="96"/>
      <c r="N25" s="78"/>
      <c r="O25" s="79"/>
      <c r="P25" s="79"/>
      <c r="Q25" s="78"/>
      <c r="R25" s="79"/>
      <c r="S25" s="79"/>
      <c r="T25" s="79"/>
      <c r="U25" s="489"/>
      <c r="V25" s="490"/>
      <c r="W25" s="490"/>
      <c r="X25" s="491"/>
    </row>
    <row r="26" spans="1:24">
      <c r="A26" s="81" t="s">
        <v>68</v>
      </c>
      <c r="B26" s="82" t="s">
        <v>108</v>
      </c>
      <c r="C26" s="84">
        <v>470</v>
      </c>
      <c r="D26" s="84" t="s">
        <v>31</v>
      </c>
      <c r="E26" s="85">
        <v>1010</v>
      </c>
      <c r="F26" s="86">
        <v>932</v>
      </c>
      <c r="G26" s="226">
        <v>80.3</v>
      </c>
      <c r="H26" s="87">
        <v>15.4</v>
      </c>
      <c r="I26" s="269">
        <v>15.3</v>
      </c>
      <c r="J26" s="269">
        <v>9.8400000000000001E-2</v>
      </c>
      <c r="K26" s="87">
        <v>13.3</v>
      </c>
      <c r="L26" s="269">
        <v>13.2</v>
      </c>
      <c r="M26" s="269">
        <v>6.0400000000000002E-3</v>
      </c>
      <c r="N26" s="87">
        <v>2.1800000000000002</v>
      </c>
      <c r="O26" s="269">
        <v>2.09</v>
      </c>
      <c r="P26" s="269">
        <v>9.2299999999999993E-2</v>
      </c>
      <c r="Q26" s="90">
        <v>0.46899999999999997</v>
      </c>
      <c r="R26" s="91">
        <v>0.41399999999999998</v>
      </c>
      <c r="S26" s="91">
        <v>5.5300000000000002E-2</v>
      </c>
      <c r="T26" s="91">
        <v>0.433</v>
      </c>
      <c r="U26" s="486"/>
      <c r="V26" s="487"/>
      <c r="W26" s="487"/>
      <c r="X26" s="488"/>
    </row>
    <row r="27" spans="1:24">
      <c r="A27" s="81" t="s">
        <v>69</v>
      </c>
      <c r="B27" s="82" t="s">
        <v>180</v>
      </c>
      <c r="C27" s="84">
        <v>675</v>
      </c>
      <c r="D27" s="84" t="s">
        <v>31</v>
      </c>
      <c r="E27" s="85">
        <v>436</v>
      </c>
      <c r="F27" s="86">
        <v>373</v>
      </c>
      <c r="G27" s="226">
        <v>62.9</v>
      </c>
      <c r="H27" s="87">
        <v>7.94</v>
      </c>
      <c r="I27" s="269">
        <v>7.84</v>
      </c>
      <c r="J27" s="269">
        <v>9.4799999999999995E-2</v>
      </c>
      <c r="K27" s="87">
        <v>7.28</v>
      </c>
      <c r="L27" s="269">
        <v>7.27</v>
      </c>
      <c r="M27" s="269">
        <v>5.9899999999999997E-3</v>
      </c>
      <c r="N27" s="92">
        <v>0.66200000000000003</v>
      </c>
      <c r="O27" s="269">
        <v>0.57299999999999995</v>
      </c>
      <c r="P27" s="269">
        <v>8.8800000000000004E-2</v>
      </c>
      <c r="Q27" s="90">
        <v>0.152</v>
      </c>
      <c r="R27" s="91">
        <v>0.113</v>
      </c>
      <c r="S27" s="227">
        <v>3.9E-2</v>
      </c>
      <c r="T27" s="227">
        <v>0.45100000000000001</v>
      </c>
      <c r="U27" s="480"/>
      <c r="V27" s="481"/>
      <c r="W27" s="481"/>
      <c r="X27" s="482"/>
    </row>
    <row r="28" spans="1:24">
      <c r="A28" s="81" t="s">
        <v>70</v>
      </c>
      <c r="B28" s="82" t="s">
        <v>109</v>
      </c>
      <c r="C28" s="84">
        <v>685</v>
      </c>
      <c r="D28" s="84" t="s">
        <v>31</v>
      </c>
      <c r="E28" s="85">
        <v>1540</v>
      </c>
      <c r="F28" s="86">
        <v>1420</v>
      </c>
      <c r="G28" s="226">
        <v>128</v>
      </c>
      <c r="H28" s="87">
        <v>10.3</v>
      </c>
      <c r="I28" s="269">
        <v>10.199999999999999</v>
      </c>
      <c r="J28" s="269">
        <v>0.108</v>
      </c>
      <c r="K28" s="87">
        <v>5.85</v>
      </c>
      <c r="L28" s="269">
        <v>5.84</v>
      </c>
      <c r="M28" s="269">
        <v>6.1599999999999997E-3</v>
      </c>
      <c r="N28" s="87">
        <v>4.47</v>
      </c>
      <c r="O28" s="269">
        <v>4.37</v>
      </c>
      <c r="P28" s="269">
        <v>0.10199999999999999</v>
      </c>
      <c r="Q28" s="90">
        <v>0.95399999999999996</v>
      </c>
      <c r="R28" s="91">
        <v>0.85399999999999998</v>
      </c>
      <c r="S28" s="91">
        <v>0.1</v>
      </c>
      <c r="T28" s="91">
        <v>0.39600000000000002</v>
      </c>
      <c r="U28" s="483"/>
      <c r="V28" s="484"/>
      <c r="W28" s="484"/>
      <c r="X28" s="485"/>
    </row>
    <row r="29" spans="1:24">
      <c r="A29" s="81" t="s">
        <v>71</v>
      </c>
      <c r="B29" s="82" t="s">
        <v>110</v>
      </c>
      <c r="C29" s="84">
        <v>605</v>
      </c>
      <c r="D29" s="84" t="s">
        <v>31</v>
      </c>
      <c r="E29" s="85">
        <v>1030</v>
      </c>
      <c r="F29" s="86">
        <v>921</v>
      </c>
      <c r="G29" s="226">
        <v>106</v>
      </c>
      <c r="H29" s="87">
        <v>11</v>
      </c>
      <c r="I29" s="269">
        <v>10.9</v>
      </c>
      <c r="J29" s="269">
        <v>0.104</v>
      </c>
      <c r="K29" s="87">
        <v>8.26</v>
      </c>
      <c r="L29" s="269">
        <v>8.25</v>
      </c>
      <c r="M29" s="269">
        <v>6.11E-3</v>
      </c>
      <c r="N29" s="87">
        <v>2.71</v>
      </c>
      <c r="O29" s="269">
        <v>2.61</v>
      </c>
      <c r="P29" s="269">
        <v>9.7600000000000006E-2</v>
      </c>
      <c r="Q29" s="90">
        <v>0.56299999999999994</v>
      </c>
      <c r="R29" s="91">
        <v>0.48299999999999998</v>
      </c>
      <c r="S29" s="91">
        <v>7.9799999999999996E-2</v>
      </c>
      <c r="T29" s="91">
        <v>0.44400000000000001</v>
      </c>
      <c r="U29" s="480"/>
      <c r="V29" s="481"/>
      <c r="W29" s="481"/>
      <c r="X29" s="482"/>
    </row>
    <row r="30" spans="1:24">
      <c r="A30" s="81" t="s">
        <v>72</v>
      </c>
      <c r="B30" s="82" t="s">
        <v>179</v>
      </c>
      <c r="C30" s="84">
        <v>640</v>
      </c>
      <c r="D30" s="84" t="s">
        <v>31</v>
      </c>
      <c r="E30" s="85">
        <v>1210</v>
      </c>
      <c r="F30" s="86">
        <v>1090</v>
      </c>
      <c r="G30" s="226">
        <v>122</v>
      </c>
      <c r="H30" s="87">
        <v>8.39</v>
      </c>
      <c r="I30" s="269">
        <v>8.2799999999999994</v>
      </c>
      <c r="J30" s="269">
        <v>0.105</v>
      </c>
      <c r="K30" s="87">
        <v>4.6900000000000004</v>
      </c>
      <c r="L30" s="269">
        <v>4.68</v>
      </c>
      <c r="M30" s="269">
        <v>6.1399999999999996E-3</v>
      </c>
      <c r="N30" s="87">
        <v>3.7</v>
      </c>
      <c r="O30" s="269">
        <v>3.6</v>
      </c>
      <c r="P30" s="269">
        <v>9.8500000000000004E-2</v>
      </c>
      <c r="Q30" s="90">
        <v>0.73499999999999999</v>
      </c>
      <c r="R30" s="91">
        <v>0.64100000000000001</v>
      </c>
      <c r="S30" s="91">
        <v>9.4500000000000001E-2</v>
      </c>
      <c r="T30" s="91">
        <v>0.41699999999999998</v>
      </c>
      <c r="U30" s="480"/>
      <c r="V30" s="481"/>
      <c r="W30" s="481"/>
      <c r="X30" s="482"/>
    </row>
    <row r="31" spans="1:24">
      <c r="A31" s="81" t="s">
        <v>73</v>
      </c>
      <c r="B31" s="82" t="s">
        <v>178</v>
      </c>
      <c r="C31" s="84">
        <v>640</v>
      </c>
      <c r="D31" s="84" t="s">
        <v>31</v>
      </c>
      <c r="E31" s="85">
        <v>886</v>
      </c>
      <c r="F31" s="86">
        <v>780</v>
      </c>
      <c r="G31" s="226">
        <v>106</v>
      </c>
      <c r="H31" s="87">
        <v>6.92</v>
      </c>
      <c r="I31" s="269">
        <v>6.82</v>
      </c>
      <c r="J31" s="269">
        <v>0.104</v>
      </c>
      <c r="K31" s="87">
        <v>4.3600000000000003</v>
      </c>
      <c r="L31" s="269">
        <v>4.3600000000000003</v>
      </c>
      <c r="M31" s="269">
        <v>6.11E-3</v>
      </c>
      <c r="N31" s="87">
        <v>2.56</v>
      </c>
      <c r="O31" s="269">
        <v>2.46</v>
      </c>
      <c r="P31" s="269">
        <v>9.7600000000000006E-2</v>
      </c>
      <c r="Q31" s="90">
        <v>0.52900000000000003</v>
      </c>
      <c r="R31" s="91">
        <v>0.45</v>
      </c>
      <c r="S31" s="91">
        <v>7.9799999999999996E-2</v>
      </c>
      <c r="T31" s="91">
        <v>0.41699999999999998</v>
      </c>
      <c r="U31" s="480"/>
      <c r="V31" s="481"/>
      <c r="W31" s="481"/>
      <c r="X31" s="482"/>
    </row>
    <row r="32" spans="1:24">
      <c r="A32" s="81" t="s">
        <v>74</v>
      </c>
      <c r="B32" s="82" t="s">
        <v>177</v>
      </c>
      <c r="C32" s="84">
        <v>500</v>
      </c>
      <c r="D32" s="84" t="s">
        <v>31</v>
      </c>
      <c r="E32" s="85">
        <v>2140</v>
      </c>
      <c r="F32" s="86">
        <v>2030</v>
      </c>
      <c r="G32" s="226">
        <v>106</v>
      </c>
      <c r="H32" s="87">
        <v>14.7</v>
      </c>
      <c r="I32" s="269">
        <v>14.6</v>
      </c>
      <c r="J32" s="269">
        <v>0.104</v>
      </c>
      <c r="K32" s="87">
        <v>9.99</v>
      </c>
      <c r="L32" s="269">
        <v>9.99</v>
      </c>
      <c r="M32" s="269">
        <v>6.11E-3</v>
      </c>
      <c r="N32" s="87">
        <v>4.7</v>
      </c>
      <c r="O32" s="269">
        <v>4.5999999999999996</v>
      </c>
      <c r="P32" s="269">
        <v>9.7600000000000006E-2</v>
      </c>
      <c r="Q32" s="92">
        <v>0.94799999999999995</v>
      </c>
      <c r="R32" s="91">
        <v>0.86799999999999999</v>
      </c>
      <c r="S32" s="91">
        <v>7.9799999999999996E-2</v>
      </c>
      <c r="T32" s="91">
        <v>0.41</v>
      </c>
      <c r="U32" s="483"/>
      <c r="V32" s="484"/>
      <c r="W32" s="484"/>
      <c r="X32" s="485"/>
    </row>
    <row r="33" spans="1:27" ht="14.25">
      <c r="A33" s="72" t="s">
        <v>97</v>
      </c>
      <c r="B33" s="73" t="s">
        <v>58</v>
      </c>
      <c r="C33" s="74" t="s">
        <v>30</v>
      </c>
      <c r="D33" s="75"/>
      <c r="E33" s="80"/>
      <c r="F33" s="80"/>
      <c r="G33" s="80"/>
      <c r="H33" s="99"/>
      <c r="I33" s="79"/>
      <c r="J33" s="96"/>
      <c r="K33" s="99"/>
      <c r="L33" s="79"/>
      <c r="M33" s="96"/>
      <c r="N33" s="78"/>
      <c r="O33" s="79"/>
      <c r="P33" s="79"/>
      <c r="Q33" s="78"/>
      <c r="R33" s="79"/>
      <c r="S33" s="79"/>
      <c r="T33" s="79"/>
      <c r="U33" s="489"/>
      <c r="V33" s="490"/>
      <c r="W33" s="490"/>
      <c r="X33" s="491"/>
    </row>
    <row r="34" spans="1:27">
      <c r="A34" s="81" t="s">
        <v>75</v>
      </c>
      <c r="B34" s="82" t="s">
        <v>104</v>
      </c>
      <c r="C34" s="83">
        <v>1100</v>
      </c>
      <c r="D34" s="84" t="s">
        <v>31</v>
      </c>
      <c r="E34" s="85">
        <v>8100</v>
      </c>
      <c r="F34" s="86">
        <v>4860</v>
      </c>
      <c r="G34" s="86">
        <v>3240</v>
      </c>
      <c r="H34" s="87">
        <v>25.5</v>
      </c>
      <c r="I34" s="269">
        <v>25.3</v>
      </c>
      <c r="J34" s="269">
        <v>0.23699999999999999</v>
      </c>
      <c r="K34" s="87">
        <v>0.82499999999999996</v>
      </c>
      <c r="L34" s="269">
        <v>0.81200000000000006</v>
      </c>
      <c r="M34" s="269">
        <v>1.2999999999999999E-2</v>
      </c>
      <c r="N34" s="87">
        <v>24.7</v>
      </c>
      <c r="O34" s="269">
        <v>24.4</v>
      </c>
      <c r="P34" s="269">
        <v>0.224</v>
      </c>
      <c r="Q34" s="92">
        <v>5.84</v>
      </c>
      <c r="R34" s="93">
        <v>2.74</v>
      </c>
      <c r="S34" s="93">
        <v>3.1</v>
      </c>
      <c r="T34" s="93">
        <v>0</v>
      </c>
      <c r="U34" s="486"/>
      <c r="V34" s="487"/>
      <c r="W34" s="487"/>
      <c r="X34" s="488"/>
      <c r="AA34" s="439"/>
    </row>
    <row r="35" spans="1:27">
      <c r="A35" s="98" t="s">
        <v>81</v>
      </c>
      <c r="B35" s="82" t="s">
        <v>82</v>
      </c>
      <c r="C35" s="83">
        <v>1050</v>
      </c>
      <c r="D35" s="84" t="s">
        <v>31</v>
      </c>
      <c r="E35" s="85">
        <v>9770</v>
      </c>
      <c r="F35" s="86">
        <v>6790</v>
      </c>
      <c r="G35" s="86">
        <v>2980</v>
      </c>
      <c r="H35" s="97">
        <v>30.4</v>
      </c>
      <c r="I35" s="269">
        <v>29.6</v>
      </c>
      <c r="J35" s="269">
        <v>0.76</v>
      </c>
      <c r="K35" s="97">
        <v>0.42899999999999999</v>
      </c>
      <c r="L35" s="269">
        <v>0.40799999999999997</v>
      </c>
      <c r="M35" s="269">
        <v>2.0799999999999999E-2</v>
      </c>
      <c r="N35" s="97">
        <v>30</v>
      </c>
      <c r="O35" s="269">
        <v>29.2</v>
      </c>
      <c r="P35" s="269">
        <v>0.73899999999999999</v>
      </c>
      <c r="Q35" s="92">
        <v>7.67</v>
      </c>
      <c r="R35" s="93">
        <v>4.92</v>
      </c>
      <c r="S35" s="93">
        <v>2.75</v>
      </c>
      <c r="T35" s="93">
        <v>0</v>
      </c>
      <c r="U35" s="480"/>
      <c r="V35" s="481"/>
      <c r="W35" s="481"/>
      <c r="X35" s="482"/>
    </row>
    <row r="36" spans="1:27">
      <c r="A36" s="98" t="s">
        <v>85</v>
      </c>
      <c r="B36" s="82" t="s">
        <v>86</v>
      </c>
      <c r="C36" s="83">
        <v>960</v>
      </c>
      <c r="D36" s="84" t="s">
        <v>31</v>
      </c>
      <c r="E36" s="85">
        <v>6020</v>
      </c>
      <c r="F36" s="86">
        <v>3570</v>
      </c>
      <c r="G36" s="86">
        <v>2450</v>
      </c>
      <c r="H36" s="87">
        <v>23.8</v>
      </c>
      <c r="I36" s="269">
        <v>23.5</v>
      </c>
      <c r="J36" s="269">
        <v>0.223</v>
      </c>
      <c r="K36" s="87">
        <v>0.53700000000000003</v>
      </c>
      <c r="L36" s="269">
        <v>0.52300000000000002</v>
      </c>
      <c r="M36" s="269">
        <v>1.4E-2</v>
      </c>
      <c r="N36" s="87">
        <v>23.2</v>
      </c>
      <c r="O36" s="269">
        <v>23</v>
      </c>
      <c r="P36" s="269">
        <v>0.20899999999999999</v>
      </c>
      <c r="Q36" s="92">
        <v>4.75</v>
      </c>
      <c r="R36" s="93">
        <v>2.38</v>
      </c>
      <c r="S36" s="93">
        <v>2.37</v>
      </c>
      <c r="T36" s="93">
        <v>0</v>
      </c>
      <c r="U36" s="483"/>
      <c r="V36" s="484"/>
      <c r="W36" s="484"/>
      <c r="X36" s="485"/>
    </row>
    <row r="37" spans="1:27">
      <c r="A37" s="98" t="s">
        <v>87</v>
      </c>
      <c r="B37" s="82" t="s">
        <v>88</v>
      </c>
      <c r="C37" s="83">
        <v>910</v>
      </c>
      <c r="D37" s="84" t="s">
        <v>31</v>
      </c>
      <c r="E37" s="85">
        <v>6050</v>
      </c>
      <c r="F37" s="86">
        <v>3600</v>
      </c>
      <c r="G37" s="86">
        <v>2450</v>
      </c>
      <c r="H37" s="87">
        <v>23.2</v>
      </c>
      <c r="I37" s="269">
        <v>22.9</v>
      </c>
      <c r="J37" s="269">
        <v>0.223</v>
      </c>
      <c r="K37" s="87">
        <v>0.42099999999999999</v>
      </c>
      <c r="L37" s="269">
        <v>0.40699999999999997</v>
      </c>
      <c r="M37" s="269">
        <v>1.4E-2</v>
      </c>
      <c r="N37" s="87">
        <v>22.7</v>
      </c>
      <c r="O37" s="269">
        <v>22.5</v>
      </c>
      <c r="P37" s="269">
        <v>0.20899999999999999</v>
      </c>
      <c r="Q37" s="92">
        <v>4.7699999999999996</v>
      </c>
      <c r="R37" s="93">
        <v>2.4</v>
      </c>
      <c r="S37" s="93">
        <v>2.37</v>
      </c>
      <c r="T37" s="93">
        <v>0</v>
      </c>
      <c r="U37" s="480"/>
      <c r="V37" s="481"/>
      <c r="W37" s="481"/>
      <c r="X37" s="482"/>
    </row>
    <row r="38" spans="1:27">
      <c r="A38" s="81" t="s">
        <v>78</v>
      </c>
      <c r="B38" s="82" t="s">
        <v>191</v>
      </c>
      <c r="C38" s="84">
        <v>30</v>
      </c>
      <c r="D38" s="84" t="s">
        <v>31</v>
      </c>
      <c r="E38" s="85">
        <v>10400</v>
      </c>
      <c r="F38" s="86">
        <v>7490</v>
      </c>
      <c r="G38" s="86">
        <v>2920</v>
      </c>
      <c r="H38" s="97">
        <v>31</v>
      </c>
      <c r="I38" s="269">
        <v>30.3</v>
      </c>
      <c r="J38" s="269">
        <v>0.69899999999999995</v>
      </c>
      <c r="K38" s="97">
        <v>0.82299999999999995</v>
      </c>
      <c r="L38" s="269">
        <v>0.80600000000000005</v>
      </c>
      <c r="M38" s="269">
        <v>1.72E-2</v>
      </c>
      <c r="N38" s="97">
        <v>30.1</v>
      </c>
      <c r="O38" s="269">
        <v>29.5</v>
      </c>
      <c r="P38" s="269">
        <v>0.68200000000000005</v>
      </c>
      <c r="Q38" s="92">
        <v>7.44</v>
      </c>
      <c r="R38" s="93">
        <v>4.79</v>
      </c>
      <c r="S38" s="93">
        <v>2.65</v>
      </c>
      <c r="T38" s="93">
        <v>0</v>
      </c>
      <c r="U38" s="480"/>
      <c r="V38" s="481"/>
      <c r="W38" s="481"/>
      <c r="X38" s="482"/>
    </row>
    <row r="39" spans="1:27">
      <c r="A39" s="210" t="s">
        <v>211</v>
      </c>
      <c r="B39" s="187" t="s">
        <v>217</v>
      </c>
      <c r="C39" s="211">
        <f>ROUND(C108/0.0081,-1)</f>
        <v>1430</v>
      </c>
      <c r="D39" s="212" t="s">
        <v>31</v>
      </c>
      <c r="E39" s="213">
        <f>E108/$C108</f>
        <v>6318.9655172413795</v>
      </c>
      <c r="F39" s="214">
        <f t="shared" ref="F39:T39" si="3">F108/$C108</f>
        <v>5025.8620689655172</v>
      </c>
      <c r="G39" s="214">
        <f t="shared" si="3"/>
        <v>1293.1034482758621</v>
      </c>
      <c r="H39" s="215">
        <f t="shared" si="3"/>
        <v>24.224137931034484</v>
      </c>
      <c r="I39" s="216">
        <f t="shared" si="3"/>
        <v>23.96551724137931</v>
      </c>
      <c r="J39" s="217">
        <f t="shared" si="3"/>
        <v>0.28017241379310348</v>
      </c>
      <c r="K39" s="215">
        <f t="shared" si="3"/>
        <v>7.2155172413793105</v>
      </c>
      <c r="L39" s="216">
        <f t="shared" si="3"/>
        <v>7.1982758620689653</v>
      </c>
      <c r="M39" s="217">
        <f t="shared" si="3"/>
        <v>1.7241379310344827E-2</v>
      </c>
      <c r="N39" s="215">
        <f t="shared" si="3"/>
        <v>17.068965517241381</v>
      </c>
      <c r="O39" s="216">
        <f t="shared" si="3"/>
        <v>16.810344827586206</v>
      </c>
      <c r="P39" s="217">
        <f t="shared" si="3"/>
        <v>0.26293103448275862</v>
      </c>
      <c r="Q39" s="218">
        <f t="shared" si="3"/>
        <v>3.9568965517241379</v>
      </c>
      <c r="R39" s="219">
        <f t="shared" si="3"/>
        <v>2.8706896551724137</v>
      </c>
      <c r="S39" s="219">
        <f t="shared" si="3"/>
        <v>1.0862068965517242</v>
      </c>
      <c r="T39" s="219">
        <f t="shared" si="3"/>
        <v>0.28275862068965518</v>
      </c>
      <c r="U39" s="480"/>
      <c r="V39" s="481"/>
      <c r="W39" s="481"/>
      <c r="X39" s="482"/>
    </row>
    <row r="40" spans="1:27">
      <c r="A40" s="98" t="s">
        <v>89</v>
      </c>
      <c r="B40" s="82" t="s">
        <v>90</v>
      </c>
      <c r="C40" s="83">
        <v>1390</v>
      </c>
      <c r="D40" s="84" t="s">
        <v>31</v>
      </c>
      <c r="E40" s="85">
        <v>6240</v>
      </c>
      <c r="F40" s="86">
        <v>3880</v>
      </c>
      <c r="G40" s="86">
        <v>2370</v>
      </c>
      <c r="H40" s="87">
        <v>20.2</v>
      </c>
      <c r="I40" s="269">
        <v>19</v>
      </c>
      <c r="J40" s="269">
        <v>1.2</v>
      </c>
      <c r="K40" s="87">
        <v>0.63700000000000001</v>
      </c>
      <c r="L40" s="269">
        <v>0.53600000000000003</v>
      </c>
      <c r="M40" s="269">
        <v>0.10100000000000001</v>
      </c>
      <c r="N40" s="87">
        <v>19.5</v>
      </c>
      <c r="O40" s="269">
        <v>18.399999999999999</v>
      </c>
      <c r="P40" s="269">
        <v>1.1000000000000001</v>
      </c>
      <c r="Q40" s="92">
        <v>4.4800000000000004</v>
      </c>
      <c r="R40" s="93">
        <v>2.38</v>
      </c>
      <c r="S40" s="93">
        <v>2.1</v>
      </c>
      <c r="T40" s="93">
        <v>0</v>
      </c>
      <c r="U40" s="483"/>
      <c r="V40" s="484"/>
      <c r="W40" s="484"/>
      <c r="X40" s="485"/>
    </row>
    <row r="41" spans="1:27">
      <c r="A41" s="98" t="s">
        <v>98</v>
      </c>
      <c r="B41" s="82" t="s">
        <v>190</v>
      </c>
      <c r="C41" s="83">
        <v>1180</v>
      </c>
      <c r="D41" s="84" t="s">
        <v>31</v>
      </c>
      <c r="E41" s="85">
        <v>14800</v>
      </c>
      <c r="F41" s="86">
        <v>11700</v>
      </c>
      <c r="G41" s="86">
        <v>3090</v>
      </c>
      <c r="H41" s="97">
        <v>40.5</v>
      </c>
      <c r="I41" s="269">
        <v>40.299999999999997</v>
      </c>
      <c r="J41" s="269">
        <v>0.223</v>
      </c>
      <c r="K41" s="97">
        <v>0.38400000000000001</v>
      </c>
      <c r="L41" s="269">
        <v>0.371</v>
      </c>
      <c r="M41" s="269">
        <v>1.34E-2</v>
      </c>
      <c r="N41" s="97">
        <v>40.200000000000003</v>
      </c>
      <c r="O41" s="269">
        <v>40</v>
      </c>
      <c r="P41" s="269">
        <v>0.21</v>
      </c>
      <c r="Q41" s="87">
        <v>11.6</v>
      </c>
      <c r="R41" s="93">
        <v>8.68</v>
      </c>
      <c r="S41" s="93">
        <v>2.92</v>
      </c>
      <c r="T41" s="93">
        <v>0</v>
      </c>
      <c r="U41" s="486"/>
      <c r="V41" s="487"/>
      <c r="W41" s="487"/>
      <c r="X41" s="488"/>
    </row>
    <row r="42" spans="1:27">
      <c r="A42" s="98" t="s">
        <v>99</v>
      </c>
      <c r="B42" s="82" t="s">
        <v>189</v>
      </c>
      <c r="C42" s="83">
        <v>1360</v>
      </c>
      <c r="D42" s="84" t="s">
        <v>31</v>
      </c>
      <c r="E42" s="85">
        <v>15200</v>
      </c>
      <c r="F42" s="86">
        <v>12300</v>
      </c>
      <c r="G42" s="86">
        <v>2910</v>
      </c>
      <c r="H42" s="97">
        <v>41.3</v>
      </c>
      <c r="I42" s="269">
        <v>40.6</v>
      </c>
      <c r="J42" s="269">
        <v>0.70599999999999996</v>
      </c>
      <c r="K42" s="97">
        <v>0.97899999999999998</v>
      </c>
      <c r="L42" s="269">
        <v>0.95899999999999996</v>
      </c>
      <c r="M42" s="269">
        <v>1.9300000000000001E-2</v>
      </c>
      <c r="N42" s="97">
        <v>40.299999999999997</v>
      </c>
      <c r="O42" s="269">
        <v>39.6</v>
      </c>
      <c r="P42" s="269">
        <v>0.68700000000000006</v>
      </c>
      <c r="Q42" s="92">
        <v>11.5</v>
      </c>
      <c r="R42" s="93">
        <v>8.89</v>
      </c>
      <c r="S42" s="91">
        <v>2.62</v>
      </c>
      <c r="T42" s="91">
        <v>0</v>
      </c>
      <c r="U42" s="480"/>
      <c r="V42" s="481"/>
      <c r="W42" s="481"/>
      <c r="X42" s="482"/>
    </row>
    <row r="43" spans="1:27">
      <c r="A43" s="98" t="s">
        <v>100</v>
      </c>
      <c r="B43" s="82" t="s">
        <v>188</v>
      </c>
      <c r="C43" s="83">
        <v>1500</v>
      </c>
      <c r="D43" s="84" t="s">
        <v>31</v>
      </c>
      <c r="E43" s="85">
        <v>13800</v>
      </c>
      <c r="F43" s="86">
        <v>10700</v>
      </c>
      <c r="G43" s="86">
        <v>3090</v>
      </c>
      <c r="H43" s="87">
        <v>32.799999999999997</v>
      </c>
      <c r="I43" s="269">
        <v>32.6</v>
      </c>
      <c r="J43" s="269">
        <v>0.223</v>
      </c>
      <c r="K43" s="87">
        <v>1.48</v>
      </c>
      <c r="L43" s="269">
        <v>1.46</v>
      </c>
      <c r="M43" s="269">
        <v>1.34E-2</v>
      </c>
      <c r="N43" s="87">
        <v>31.3</v>
      </c>
      <c r="O43" s="269">
        <v>31.1</v>
      </c>
      <c r="P43" s="269">
        <v>0.21</v>
      </c>
      <c r="Q43" s="92">
        <v>9.84</v>
      </c>
      <c r="R43" s="93">
        <v>6.92</v>
      </c>
      <c r="S43" s="91">
        <v>2.92</v>
      </c>
      <c r="T43" s="91">
        <v>0</v>
      </c>
      <c r="U43" s="483"/>
      <c r="V43" s="484"/>
      <c r="W43" s="484"/>
      <c r="X43" s="485"/>
    </row>
    <row r="44" spans="1:27">
      <c r="A44" s="98" t="s">
        <v>101</v>
      </c>
      <c r="B44" s="82" t="s">
        <v>102</v>
      </c>
      <c r="C44" s="83">
        <v>1050</v>
      </c>
      <c r="D44" s="84" t="s">
        <v>31</v>
      </c>
      <c r="E44" s="85">
        <v>8170</v>
      </c>
      <c r="F44" s="86">
        <v>4880</v>
      </c>
      <c r="G44" s="86">
        <v>3280</v>
      </c>
      <c r="H44" s="97">
        <v>24.7</v>
      </c>
      <c r="I44" s="269">
        <v>24.5</v>
      </c>
      <c r="J44" s="269">
        <v>0.221</v>
      </c>
      <c r="K44" s="97">
        <v>0.11</v>
      </c>
      <c r="L44" s="269">
        <v>9.7100000000000006E-2</v>
      </c>
      <c r="M44" s="269">
        <v>1.32E-2</v>
      </c>
      <c r="N44" s="87">
        <v>24.6</v>
      </c>
      <c r="O44" s="269">
        <v>24.4</v>
      </c>
      <c r="P44" s="269">
        <v>0.20799999999999999</v>
      </c>
      <c r="Q44" s="92">
        <v>6.72</v>
      </c>
      <c r="R44" s="93">
        <v>3.64</v>
      </c>
      <c r="S44" s="89">
        <v>3.08</v>
      </c>
      <c r="T44" s="89">
        <v>0</v>
      </c>
      <c r="U44" s="480"/>
      <c r="V44" s="481"/>
      <c r="W44" s="481"/>
      <c r="X44" s="482"/>
    </row>
    <row r="45" spans="1:27">
      <c r="A45" s="98">
        <v>21.004000000000001</v>
      </c>
      <c r="B45" s="82" t="s">
        <v>264</v>
      </c>
      <c r="C45" s="83">
        <v>1700</v>
      </c>
      <c r="D45" s="84" t="s">
        <v>31</v>
      </c>
      <c r="E45" s="85">
        <v>6227.272727272727</v>
      </c>
      <c r="F45" s="86">
        <v>5272.727272727273</v>
      </c>
      <c r="G45" s="86">
        <v>945.4545454545455</v>
      </c>
      <c r="H45" s="97">
        <v>16.40909090909091</v>
      </c>
      <c r="I45" s="269">
        <v>16.181818181818183</v>
      </c>
      <c r="J45" s="269">
        <v>0.21454545454545454</v>
      </c>
      <c r="K45" s="97">
        <v>0.28545454545454546</v>
      </c>
      <c r="L45" s="269">
        <v>0.27499999999999997</v>
      </c>
      <c r="M45" s="269">
        <v>1.0545454545454545E-2</v>
      </c>
      <c r="N45" s="97">
        <v>16.136363636363637</v>
      </c>
      <c r="O45" s="269">
        <v>15.909090909090908</v>
      </c>
      <c r="P45" s="269">
        <v>0.2040909090909091</v>
      </c>
      <c r="Q45" s="87">
        <v>4.3409090909090908</v>
      </c>
      <c r="R45" s="93">
        <v>3.4636363636363638</v>
      </c>
      <c r="S45" s="93">
        <v>0.87272727272727268</v>
      </c>
      <c r="T45" s="269">
        <v>0</v>
      </c>
      <c r="U45" s="480" t="s">
        <v>263</v>
      </c>
      <c r="V45" s="481"/>
      <c r="W45" s="481"/>
      <c r="X45" s="482"/>
    </row>
    <row r="46" spans="1:27">
      <c r="A46" s="224" t="s">
        <v>419</v>
      </c>
      <c r="B46" s="172" t="s">
        <v>216</v>
      </c>
      <c r="C46" s="173">
        <v>2150</v>
      </c>
      <c r="D46" s="174" t="s">
        <v>31</v>
      </c>
      <c r="E46" s="175">
        <v>174103.3083</v>
      </c>
      <c r="F46" s="176">
        <v>171639.31</v>
      </c>
      <c r="G46" s="176">
        <v>2463.9983000000002</v>
      </c>
      <c r="H46" s="182">
        <v>100.45681789850835</v>
      </c>
      <c r="I46" s="180">
        <v>100.02936945444446</v>
      </c>
      <c r="J46" s="178">
        <v>0.45654423823055557</v>
      </c>
      <c r="K46" s="177">
        <v>7.2856375163888885</v>
      </c>
      <c r="L46" s="178">
        <v>7.2565417222222219</v>
      </c>
      <c r="M46" s="178">
        <v>2.9095794166666664E-2</v>
      </c>
      <c r="N46" s="179">
        <v>93.200276176286124</v>
      </c>
      <c r="O46" s="180">
        <v>92.77282773222224</v>
      </c>
      <c r="P46" s="181">
        <v>0.42744844406388888</v>
      </c>
      <c r="Q46" s="182">
        <v>83.365544299999996</v>
      </c>
      <c r="R46" s="183">
        <v>81.083507999999995</v>
      </c>
      <c r="S46" s="181">
        <v>2.2820363000000001</v>
      </c>
      <c r="T46" s="181">
        <v>0</v>
      </c>
      <c r="U46" s="480"/>
      <c r="V46" s="481"/>
      <c r="W46" s="481"/>
      <c r="X46" s="482"/>
    </row>
    <row r="47" spans="1:27" ht="14.25">
      <c r="A47" s="72" t="s">
        <v>97</v>
      </c>
      <c r="B47" s="73" t="s">
        <v>219</v>
      </c>
      <c r="C47" s="74" t="s">
        <v>79</v>
      </c>
      <c r="D47" s="75"/>
      <c r="E47" s="80"/>
      <c r="F47" s="80"/>
      <c r="G47" s="80"/>
      <c r="H47" s="99"/>
      <c r="I47" s="79"/>
      <c r="J47" s="96"/>
      <c r="K47" s="99"/>
      <c r="L47" s="79"/>
      <c r="M47" s="96"/>
      <c r="N47" s="78"/>
      <c r="O47" s="79"/>
      <c r="P47" s="79"/>
      <c r="Q47" s="78"/>
      <c r="R47" s="79"/>
      <c r="S47" s="79"/>
      <c r="T47" s="79"/>
      <c r="U47" s="489"/>
      <c r="V47" s="490"/>
      <c r="W47" s="490"/>
      <c r="X47" s="491"/>
    </row>
    <row r="48" spans="1:27">
      <c r="A48" s="228">
        <v>9.0069999999999997</v>
      </c>
      <c r="B48" s="82" t="s">
        <v>192</v>
      </c>
      <c r="C48" s="84">
        <v>0.39</v>
      </c>
      <c r="D48" s="84" t="s">
        <v>31</v>
      </c>
      <c r="E48" s="85">
        <v>6930</v>
      </c>
      <c r="F48" s="86">
        <v>4120</v>
      </c>
      <c r="G48" s="86">
        <v>2810</v>
      </c>
      <c r="H48" s="87">
        <v>25.7</v>
      </c>
      <c r="I48" s="269">
        <v>25.4</v>
      </c>
      <c r="J48" s="269">
        <v>0.22</v>
      </c>
      <c r="K48" s="87">
        <v>0.85499999999999998</v>
      </c>
      <c r="L48" s="269">
        <v>0.84399999999999997</v>
      </c>
      <c r="M48" s="269">
        <v>1.0800000000000001E-2</v>
      </c>
      <c r="N48" s="87">
        <v>24.8</v>
      </c>
      <c r="O48" s="269">
        <v>24.6</v>
      </c>
      <c r="P48" s="269">
        <v>0.20899999999999999</v>
      </c>
      <c r="Q48" s="92">
        <v>5.42</v>
      </c>
      <c r="R48" s="93">
        <v>2.75</v>
      </c>
      <c r="S48" s="93">
        <v>2.67</v>
      </c>
      <c r="T48" s="269">
        <v>0</v>
      </c>
      <c r="U48" s="477"/>
      <c r="V48" s="478"/>
      <c r="W48" s="478"/>
      <c r="X48" s="479"/>
    </row>
    <row r="49" spans="1:24">
      <c r="A49" s="224" t="s">
        <v>420</v>
      </c>
      <c r="B49" s="172" t="s">
        <v>106</v>
      </c>
      <c r="C49" s="174">
        <v>0.39</v>
      </c>
      <c r="D49" s="84" t="s">
        <v>31</v>
      </c>
      <c r="E49" s="175">
        <v>68410.489999999991</v>
      </c>
      <c r="F49" s="176">
        <v>67218.820999999996</v>
      </c>
      <c r="G49" s="184">
        <v>1191.6690000000001</v>
      </c>
      <c r="H49" s="179">
        <v>79.976354694172215</v>
      </c>
      <c r="I49" s="180">
        <v>73.956013896388896</v>
      </c>
      <c r="J49" s="185">
        <v>0.8298266426444445</v>
      </c>
      <c r="K49" s="179">
        <v>10.581261233749998</v>
      </c>
      <c r="L49" s="180">
        <v>10.571775388888888</v>
      </c>
      <c r="M49" s="185">
        <v>9.4858448611111097E-3</v>
      </c>
      <c r="N49" s="179">
        <v>69.404579305283335</v>
      </c>
      <c r="O49" s="180">
        <v>68.584238507500004</v>
      </c>
      <c r="P49" s="185">
        <v>0.82034079778333335</v>
      </c>
      <c r="Q49" s="182">
        <v>24.838339870000002</v>
      </c>
      <c r="R49" s="183">
        <v>23.865680000000001</v>
      </c>
      <c r="S49" s="186">
        <v>0.97265986999999998</v>
      </c>
      <c r="T49" s="186">
        <v>0.45</v>
      </c>
      <c r="U49" s="477" t="s">
        <v>260</v>
      </c>
      <c r="V49" s="478"/>
      <c r="W49" s="478"/>
      <c r="X49" s="479"/>
    </row>
    <row r="50" spans="1:24">
      <c r="A50" s="224" t="s">
        <v>421</v>
      </c>
      <c r="B50" s="172" t="s">
        <v>107</v>
      </c>
      <c r="C50" s="174">
        <v>0.5</v>
      </c>
      <c r="D50" s="84" t="s">
        <v>31</v>
      </c>
      <c r="E50" s="175">
        <v>6356.0673000000006</v>
      </c>
      <c r="F50" s="176">
        <v>6292.7673000000004</v>
      </c>
      <c r="G50" s="184">
        <v>63.3</v>
      </c>
      <c r="H50" s="179">
        <v>21.794200388888889</v>
      </c>
      <c r="I50" s="180">
        <v>15.958160388888887</v>
      </c>
      <c r="J50" s="185">
        <v>0.10124000000000001</v>
      </c>
      <c r="K50" s="179">
        <v>6.3722545833333335</v>
      </c>
      <c r="L50" s="180">
        <v>6.2770545833333333</v>
      </c>
      <c r="M50" s="185">
        <v>9.5200000000000007E-2</v>
      </c>
      <c r="N50" s="179">
        <v>15.517145805555554</v>
      </c>
      <c r="O50" s="180">
        <v>15.511105805555554</v>
      </c>
      <c r="P50" s="185">
        <v>6.0400000000000002E-3</v>
      </c>
      <c r="Q50" s="182">
        <v>3.0445415000000002</v>
      </c>
      <c r="R50" s="183">
        <v>3.0053415000000001</v>
      </c>
      <c r="S50" s="186">
        <v>3.9199999999999999E-2</v>
      </c>
      <c r="T50" s="186">
        <v>0.4</v>
      </c>
      <c r="U50" s="477" t="s">
        <v>261</v>
      </c>
      <c r="V50" s="478"/>
      <c r="W50" s="478"/>
      <c r="X50" s="479"/>
    </row>
    <row r="53" spans="1:24" ht="25.5">
      <c r="A53" s="115" t="s">
        <v>9</v>
      </c>
      <c r="B53" s="533" t="s">
        <v>135</v>
      </c>
      <c r="C53" s="116" t="s">
        <v>136</v>
      </c>
      <c r="D53" s="117"/>
      <c r="E53" s="536" t="s">
        <v>12</v>
      </c>
      <c r="F53" s="537"/>
      <c r="G53" s="537"/>
      <c r="H53" s="538"/>
      <c r="I53" s="539" t="s">
        <v>13</v>
      </c>
      <c r="J53" s="540"/>
      <c r="K53" s="540"/>
      <c r="L53" s="540"/>
      <c r="M53" s="540"/>
      <c r="N53" s="540"/>
      <c r="O53" s="540"/>
      <c r="P53" s="540"/>
      <c r="Q53" s="540"/>
      <c r="R53" s="540"/>
      <c r="S53" s="540"/>
      <c r="T53" s="541"/>
      <c r="U53" s="513" t="s">
        <v>262</v>
      </c>
      <c r="V53" s="514"/>
      <c r="W53" s="514"/>
      <c r="X53" s="515"/>
    </row>
    <row r="54" spans="1:24">
      <c r="A54" s="571" t="s">
        <v>15</v>
      </c>
      <c r="B54" s="534"/>
      <c r="C54" s="118"/>
      <c r="D54" s="119"/>
      <c r="E54" s="573" t="s">
        <v>16</v>
      </c>
      <c r="F54" s="574"/>
      <c r="G54" s="574"/>
      <c r="H54" s="575"/>
      <c r="I54" s="527" t="s">
        <v>17</v>
      </c>
      <c r="J54" s="528"/>
      <c r="K54" s="528"/>
      <c r="L54" s="528"/>
      <c r="M54" s="527" t="s">
        <v>18</v>
      </c>
      <c r="N54" s="528"/>
      <c r="O54" s="528"/>
      <c r="P54" s="528"/>
      <c r="Q54" s="527" t="s">
        <v>138</v>
      </c>
      <c r="R54" s="528"/>
      <c r="S54" s="528"/>
      <c r="T54" s="528"/>
      <c r="U54" s="519"/>
      <c r="V54" s="520"/>
      <c r="W54" s="520"/>
      <c r="X54" s="521"/>
    </row>
    <row r="55" spans="1:24">
      <c r="A55" s="572"/>
      <c r="B55" s="535"/>
      <c r="C55" s="120" t="s">
        <v>139</v>
      </c>
      <c r="D55" s="121"/>
      <c r="E55" s="573"/>
      <c r="F55" s="574"/>
      <c r="G55" s="574"/>
      <c r="H55" s="575"/>
      <c r="I55" s="522" t="s">
        <v>22</v>
      </c>
      <c r="J55" s="523"/>
      <c r="K55" s="523"/>
      <c r="L55" s="523"/>
      <c r="M55" s="522" t="s">
        <v>23</v>
      </c>
      <c r="N55" s="523"/>
      <c r="O55" s="523"/>
      <c r="P55" s="523"/>
      <c r="Q55" s="522" t="s">
        <v>140</v>
      </c>
      <c r="R55" s="523"/>
      <c r="S55" s="523"/>
      <c r="T55" s="523"/>
      <c r="U55" s="524"/>
      <c r="V55" s="525"/>
      <c r="W55" s="525"/>
      <c r="X55" s="526"/>
    </row>
    <row r="56" spans="1:24" ht="15">
      <c r="A56" s="122"/>
      <c r="B56" s="123"/>
      <c r="C56" s="124"/>
      <c r="D56" s="125"/>
      <c r="E56" s="126" t="s">
        <v>1</v>
      </c>
      <c r="F56" s="127" t="s">
        <v>141</v>
      </c>
      <c r="G56" s="128" t="s">
        <v>142</v>
      </c>
      <c r="H56" s="127" t="s">
        <v>143</v>
      </c>
      <c r="I56" s="129" t="s">
        <v>1</v>
      </c>
      <c r="J56" s="130" t="s">
        <v>141</v>
      </c>
      <c r="K56" s="130" t="s">
        <v>142</v>
      </c>
      <c r="L56" s="130" t="s">
        <v>143</v>
      </c>
      <c r="M56" s="131" t="s">
        <v>1</v>
      </c>
      <c r="N56" s="130" t="s">
        <v>141</v>
      </c>
      <c r="O56" s="130" t="s">
        <v>142</v>
      </c>
      <c r="P56" s="130" t="s">
        <v>143</v>
      </c>
      <c r="Q56" s="131" t="s">
        <v>1</v>
      </c>
      <c r="R56" s="130" t="s">
        <v>141</v>
      </c>
      <c r="S56" s="130" t="s">
        <v>142</v>
      </c>
      <c r="T56" s="130" t="s">
        <v>143</v>
      </c>
      <c r="U56" s="131" t="s">
        <v>1</v>
      </c>
      <c r="V56" s="130" t="s">
        <v>141</v>
      </c>
      <c r="W56" s="130" t="s">
        <v>142</v>
      </c>
      <c r="X56" s="130" t="s">
        <v>143</v>
      </c>
    </row>
    <row r="57" spans="1:24" ht="22.5">
      <c r="A57" s="132"/>
      <c r="B57" s="123"/>
      <c r="C57" s="124"/>
      <c r="D57" s="133"/>
      <c r="E57" s="134" t="s">
        <v>1</v>
      </c>
      <c r="F57" s="135" t="s">
        <v>144</v>
      </c>
      <c r="G57" s="135" t="s">
        <v>145</v>
      </c>
      <c r="H57" s="135" t="s">
        <v>146</v>
      </c>
      <c r="I57" s="136" t="s">
        <v>1</v>
      </c>
      <c r="J57" s="137" t="s">
        <v>144</v>
      </c>
      <c r="K57" s="137" t="s">
        <v>145</v>
      </c>
      <c r="L57" s="137" t="s">
        <v>146</v>
      </c>
      <c r="M57" s="138" t="s">
        <v>1</v>
      </c>
      <c r="N57" s="137" t="s">
        <v>144</v>
      </c>
      <c r="O57" s="137" t="s">
        <v>145</v>
      </c>
      <c r="P57" s="137" t="s">
        <v>146</v>
      </c>
      <c r="Q57" s="138" t="s">
        <v>1</v>
      </c>
      <c r="R57" s="137" t="s">
        <v>144</v>
      </c>
      <c r="S57" s="137" t="s">
        <v>145</v>
      </c>
      <c r="T57" s="137" t="s">
        <v>146</v>
      </c>
      <c r="U57" s="138" t="s">
        <v>1</v>
      </c>
      <c r="V57" s="137" t="s">
        <v>144</v>
      </c>
      <c r="W57" s="137" t="s">
        <v>145</v>
      </c>
      <c r="X57" s="137" t="s">
        <v>146</v>
      </c>
    </row>
    <row r="58" spans="1:24" ht="24">
      <c r="A58" s="139"/>
      <c r="B58" s="140"/>
      <c r="C58" s="141"/>
      <c r="D58" s="142" t="s">
        <v>147</v>
      </c>
      <c r="E58" s="143" t="s">
        <v>16</v>
      </c>
      <c r="F58" s="143" t="s">
        <v>16</v>
      </c>
      <c r="G58" s="143" t="s">
        <v>16</v>
      </c>
      <c r="H58" s="143" t="s">
        <v>16</v>
      </c>
      <c r="I58" s="292" t="s">
        <v>28</v>
      </c>
      <c r="J58" s="291" t="s">
        <v>28</v>
      </c>
      <c r="K58" s="291" t="s">
        <v>28</v>
      </c>
      <c r="L58" s="291" t="s">
        <v>28</v>
      </c>
      <c r="M58" s="291" t="s">
        <v>28</v>
      </c>
      <c r="N58" s="291" t="s">
        <v>28</v>
      </c>
      <c r="O58" s="291" t="s">
        <v>28</v>
      </c>
      <c r="P58" s="291" t="s">
        <v>28</v>
      </c>
      <c r="Q58" s="291" t="s">
        <v>28</v>
      </c>
      <c r="R58" s="291" t="s">
        <v>28</v>
      </c>
      <c r="S58" s="291" t="s">
        <v>28</v>
      </c>
      <c r="T58" s="291" t="s">
        <v>28</v>
      </c>
      <c r="U58" s="144" t="s">
        <v>29</v>
      </c>
      <c r="V58" s="144" t="s">
        <v>29</v>
      </c>
      <c r="W58" s="144" t="s">
        <v>29</v>
      </c>
      <c r="X58" s="144" t="s">
        <v>29</v>
      </c>
    </row>
    <row r="59" spans="1:24">
      <c r="A59" s="101" t="s">
        <v>111</v>
      </c>
      <c r="B59" s="102" t="s">
        <v>60</v>
      </c>
      <c r="C59" s="103"/>
      <c r="D59" s="104" t="s">
        <v>112</v>
      </c>
      <c r="E59" s="104" t="s">
        <v>112</v>
      </c>
      <c r="F59" s="104" t="s">
        <v>112</v>
      </c>
      <c r="G59" s="104" t="s">
        <v>112</v>
      </c>
      <c r="H59" s="104" t="s">
        <v>112</v>
      </c>
      <c r="I59" s="104" t="s">
        <v>112</v>
      </c>
      <c r="J59" s="104" t="s">
        <v>112</v>
      </c>
      <c r="K59" s="104" t="s">
        <v>112</v>
      </c>
      <c r="L59" s="104" t="s">
        <v>112</v>
      </c>
      <c r="M59" s="104" t="s">
        <v>112</v>
      </c>
      <c r="N59" s="104" t="s">
        <v>112</v>
      </c>
      <c r="O59" s="104" t="s">
        <v>112</v>
      </c>
      <c r="P59" s="104" t="s">
        <v>112</v>
      </c>
      <c r="Q59" s="104" t="s">
        <v>112</v>
      </c>
      <c r="R59" s="104" t="s">
        <v>112</v>
      </c>
      <c r="S59" s="104" t="s">
        <v>112</v>
      </c>
      <c r="T59" s="104" t="s">
        <v>112</v>
      </c>
      <c r="U59" s="104" t="s">
        <v>112</v>
      </c>
      <c r="V59" s="104" t="s">
        <v>112</v>
      </c>
      <c r="W59" s="104" t="s">
        <v>112</v>
      </c>
      <c r="X59" s="104" t="s">
        <v>112</v>
      </c>
    </row>
    <row r="60" spans="1:24">
      <c r="A60" s="108" t="s">
        <v>113</v>
      </c>
      <c r="B60" s="114" t="s">
        <v>114</v>
      </c>
      <c r="C60" s="105" t="s">
        <v>115</v>
      </c>
      <c r="D60" s="106" t="s">
        <v>116</v>
      </c>
      <c r="E60" s="109">
        <v>69.7</v>
      </c>
      <c r="F60" s="110">
        <v>56.1</v>
      </c>
      <c r="G60" s="110">
        <v>0.94</v>
      </c>
      <c r="H60" s="110">
        <v>12.6</v>
      </c>
      <c r="I60" s="113">
        <v>0.16500000000000001</v>
      </c>
      <c r="J60" s="278">
        <v>0.125</v>
      </c>
      <c r="K60" s="279">
        <v>1.91E-3</v>
      </c>
      <c r="L60" s="279">
        <v>3.7900000000000003E-2</v>
      </c>
      <c r="M60" s="113">
        <v>8.5299999999999994E-3</v>
      </c>
      <c r="N60" s="278">
        <v>5.13E-3</v>
      </c>
      <c r="O60" s="279">
        <v>1.02E-4</v>
      </c>
      <c r="P60" s="279">
        <v>3.29E-3</v>
      </c>
      <c r="Q60" s="113">
        <v>0.156</v>
      </c>
      <c r="R60" s="278">
        <v>0.12</v>
      </c>
      <c r="S60" s="279">
        <v>1.81E-3</v>
      </c>
      <c r="T60" s="279">
        <v>3.4599999999999999E-2</v>
      </c>
      <c r="U60" s="112">
        <v>3.9800000000000002E-2</v>
      </c>
      <c r="V60" s="280">
        <v>3.2300000000000002E-2</v>
      </c>
      <c r="W60" s="281">
        <v>4.6000000000000001E-4</v>
      </c>
      <c r="X60" s="281">
        <v>7.0699999999999999E-3</v>
      </c>
    </row>
    <row r="61" spans="1:24">
      <c r="A61" s="108" t="s">
        <v>117</v>
      </c>
      <c r="B61" s="114" t="s">
        <v>118</v>
      </c>
      <c r="C61" s="105" t="s">
        <v>115</v>
      </c>
      <c r="D61" s="106" t="s">
        <v>116</v>
      </c>
      <c r="E61" s="109">
        <v>1950</v>
      </c>
      <c r="F61" s="110">
        <v>1930</v>
      </c>
      <c r="G61" s="110">
        <v>1.61</v>
      </c>
      <c r="H61" s="110">
        <v>18.3</v>
      </c>
      <c r="I61" s="113">
        <v>2.89</v>
      </c>
      <c r="J61" s="278">
        <v>2.83</v>
      </c>
      <c r="K61" s="279">
        <v>4.5199999999999997E-3</v>
      </c>
      <c r="L61" s="279">
        <v>5.8200000000000002E-2</v>
      </c>
      <c r="M61" s="113">
        <v>1.6199999999999999E-2</v>
      </c>
      <c r="N61" s="278">
        <v>1.21E-2</v>
      </c>
      <c r="O61" s="279">
        <v>3.8000000000000002E-4</v>
      </c>
      <c r="P61" s="279">
        <v>3.7000000000000002E-3</v>
      </c>
      <c r="Q61" s="113">
        <v>2.88</v>
      </c>
      <c r="R61" s="278">
        <v>2.82</v>
      </c>
      <c r="S61" s="279">
        <v>4.1399999999999996E-3</v>
      </c>
      <c r="T61" s="279">
        <v>5.45E-2</v>
      </c>
      <c r="U61" s="113">
        <v>1.67</v>
      </c>
      <c r="V61" s="278">
        <v>1.66</v>
      </c>
      <c r="W61" s="281">
        <v>9.41E-4</v>
      </c>
      <c r="X61" s="281">
        <v>1.09E-2</v>
      </c>
    </row>
    <row r="62" spans="1:24">
      <c r="A62" s="108" t="s">
        <v>119</v>
      </c>
      <c r="B62" s="114" t="s">
        <v>120</v>
      </c>
      <c r="C62" s="105" t="s">
        <v>115</v>
      </c>
      <c r="D62" s="106" t="s">
        <v>116</v>
      </c>
      <c r="E62" s="109">
        <v>31.7</v>
      </c>
      <c r="F62" s="110">
        <v>11.3</v>
      </c>
      <c r="G62" s="110">
        <v>9.07</v>
      </c>
      <c r="H62" s="110">
        <v>11.3</v>
      </c>
      <c r="I62" s="113">
        <v>9.9299999999999999E-2</v>
      </c>
      <c r="J62" s="278">
        <v>5.6300000000000003E-2</v>
      </c>
      <c r="K62" s="279">
        <v>1.95E-2</v>
      </c>
      <c r="L62" s="279">
        <v>2.3599999999999999E-2</v>
      </c>
      <c r="M62" s="113">
        <v>4.6300000000000001E-2</v>
      </c>
      <c r="N62" s="278">
        <v>4.1599999999999998E-2</v>
      </c>
      <c r="O62" s="279">
        <v>1.34E-3</v>
      </c>
      <c r="P62" s="279">
        <v>3.3800000000000002E-3</v>
      </c>
      <c r="Q62" s="113">
        <v>5.2999999999999999E-2</v>
      </c>
      <c r="R62" s="278">
        <v>1.47E-2</v>
      </c>
      <c r="S62" s="279">
        <v>1.8100000000000002E-2</v>
      </c>
      <c r="T62" s="279">
        <v>2.0199999999999999E-2</v>
      </c>
      <c r="U62" s="112">
        <v>1.1900000000000001E-2</v>
      </c>
      <c r="V62" s="281">
        <v>2.2699999999999999E-3</v>
      </c>
      <c r="W62" s="281">
        <v>5.3499999999999997E-3</v>
      </c>
      <c r="X62" s="281">
        <v>4.2599999999999999E-3</v>
      </c>
    </row>
    <row r="63" spans="1:24">
      <c r="A63" s="108" t="s">
        <v>121</v>
      </c>
      <c r="B63" s="114" t="s">
        <v>122</v>
      </c>
      <c r="C63" s="105" t="s">
        <v>115</v>
      </c>
      <c r="D63" s="106" t="s">
        <v>116</v>
      </c>
      <c r="E63" s="109">
        <v>17.3</v>
      </c>
      <c r="F63" s="110">
        <v>15.2</v>
      </c>
      <c r="G63" s="110">
        <v>0.27900000000000003</v>
      </c>
      <c r="H63" s="110">
        <v>1.79</v>
      </c>
      <c r="I63" s="113">
        <v>2.9399999999999999E-2</v>
      </c>
      <c r="J63" s="278">
        <v>2.29E-2</v>
      </c>
      <c r="K63" s="279">
        <v>4.64E-4</v>
      </c>
      <c r="L63" s="279">
        <v>6.0299999999999998E-3</v>
      </c>
      <c r="M63" s="113">
        <v>6.7100000000000005E-4</v>
      </c>
      <c r="N63" s="278">
        <v>1.11E-4</v>
      </c>
      <c r="O63" s="279">
        <v>3.2799999999999998E-5</v>
      </c>
      <c r="P63" s="279">
        <v>5.2700000000000002E-4</v>
      </c>
      <c r="Q63" s="113">
        <v>2.8799999999999999E-2</v>
      </c>
      <c r="R63" s="278">
        <v>2.2800000000000001E-2</v>
      </c>
      <c r="S63" s="279">
        <v>4.3100000000000001E-4</v>
      </c>
      <c r="T63" s="279">
        <v>5.4999999999999997E-3</v>
      </c>
      <c r="U63" s="112">
        <v>7.3499999999999998E-3</v>
      </c>
      <c r="V63" s="281">
        <v>6.1999999999999998E-3</v>
      </c>
      <c r="W63" s="282">
        <v>1.4100000000000001E-4</v>
      </c>
      <c r="X63" s="281">
        <v>1E-3</v>
      </c>
    </row>
    <row r="64" spans="1:24">
      <c r="A64" s="108" t="s">
        <v>123</v>
      </c>
      <c r="B64" s="114" t="s">
        <v>124</v>
      </c>
      <c r="C64" s="105" t="s">
        <v>115</v>
      </c>
      <c r="D64" s="106" t="s">
        <v>116</v>
      </c>
      <c r="E64" s="109">
        <v>2880</v>
      </c>
      <c r="F64" s="110">
        <v>1960</v>
      </c>
      <c r="G64" s="110">
        <v>651</v>
      </c>
      <c r="H64" s="110">
        <v>276</v>
      </c>
      <c r="I64" s="113">
        <v>7.56</v>
      </c>
      <c r="J64" s="278">
        <v>4.97</v>
      </c>
      <c r="K64" s="279">
        <v>1.54</v>
      </c>
      <c r="L64" s="279">
        <v>1.05</v>
      </c>
      <c r="M64" s="113">
        <v>0.309</v>
      </c>
      <c r="N64" s="278">
        <v>3.2099999999999997E-2</v>
      </c>
      <c r="O64" s="279">
        <v>0.13300000000000001</v>
      </c>
      <c r="P64" s="279">
        <v>0.14499999999999999</v>
      </c>
      <c r="Q64" s="113">
        <v>7.25</v>
      </c>
      <c r="R64" s="278">
        <v>4.9400000000000004</v>
      </c>
      <c r="S64" s="279">
        <v>1.41</v>
      </c>
      <c r="T64" s="279">
        <v>0.90700000000000003</v>
      </c>
      <c r="U64" s="113">
        <v>1.75</v>
      </c>
      <c r="V64" s="278">
        <v>1.33</v>
      </c>
      <c r="W64" s="279">
        <v>0.33100000000000002</v>
      </c>
      <c r="X64" s="280">
        <v>8.9499999999999996E-2</v>
      </c>
    </row>
    <row r="65" spans="1:24">
      <c r="A65" s="107" t="s">
        <v>125</v>
      </c>
      <c r="B65" s="114" t="s">
        <v>126</v>
      </c>
      <c r="C65" s="105" t="s">
        <v>115</v>
      </c>
      <c r="D65" s="106" t="s">
        <v>116</v>
      </c>
      <c r="E65" s="109">
        <v>263</v>
      </c>
      <c r="F65" s="110">
        <v>204</v>
      </c>
      <c r="G65" s="110">
        <v>24</v>
      </c>
      <c r="H65" s="110">
        <v>34.700000000000003</v>
      </c>
      <c r="I65" s="113">
        <v>0.63</v>
      </c>
      <c r="J65" s="278">
        <v>0.44700000000000001</v>
      </c>
      <c r="K65" s="279">
        <v>6.4600000000000005E-2</v>
      </c>
      <c r="L65" s="279">
        <v>0.11799999999999999</v>
      </c>
      <c r="M65" s="113">
        <v>2.8199999999999999E-2</v>
      </c>
      <c r="N65" s="278">
        <v>1.83E-2</v>
      </c>
      <c r="O65" s="279">
        <v>3.5699999999999998E-3</v>
      </c>
      <c r="P65" s="279">
        <v>6.3400000000000001E-3</v>
      </c>
      <c r="Q65" s="113">
        <v>0.60099999999999998</v>
      </c>
      <c r="R65" s="278">
        <v>0.42799999999999999</v>
      </c>
      <c r="S65" s="279">
        <v>6.0999999999999999E-2</v>
      </c>
      <c r="T65" s="279">
        <v>0.112</v>
      </c>
      <c r="U65" s="111">
        <v>0.14199999999999999</v>
      </c>
      <c r="V65" s="279">
        <v>0.115</v>
      </c>
      <c r="W65" s="280">
        <v>1.23E-2</v>
      </c>
      <c r="X65" s="280">
        <v>1.49E-2</v>
      </c>
    </row>
    <row r="66" spans="1:24">
      <c r="A66" s="107" t="s">
        <v>127</v>
      </c>
      <c r="B66" s="114" t="s">
        <v>128</v>
      </c>
      <c r="C66" s="105" t="s">
        <v>115</v>
      </c>
      <c r="D66" s="106" t="s">
        <v>116</v>
      </c>
      <c r="E66" s="109">
        <v>1060</v>
      </c>
      <c r="F66" s="110">
        <v>837</v>
      </c>
      <c r="G66" s="110">
        <v>120</v>
      </c>
      <c r="H66" s="110">
        <v>107</v>
      </c>
      <c r="I66" s="113">
        <v>2.4300000000000002</v>
      </c>
      <c r="J66" s="278">
        <v>1.72</v>
      </c>
      <c r="K66" s="279">
        <v>0.32600000000000001</v>
      </c>
      <c r="L66" s="279">
        <v>0.38700000000000001</v>
      </c>
      <c r="M66" s="113">
        <v>0.127</v>
      </c>
      <c r="N66" s="278">
        <v>7.0400000000000004E-2</v>
      </c>
      <c r="O66" s="279">
        <v>1.9E-2</v>
      </c>
      <c r="P66" s="279">
        <v>3.7199999999999997E-2</v>
      </c>
      <c r="Q66" s="113">
        <v>2.2999999999999998</v>
      </c>
      <c r="R66" s="278">
        <v>1.65</v>
      </c>
      <c r="S66" s="279">
        <v>0.307</v>
      </c>
      <c r="T66" s="279">
        <v>0.35</v>
      </c>
      <c r="U66" s="111">
        <v>0.54800000000000004</v>
      </c>
      <c r="V66" s="279">
        <v>0.44400000000000001</v>
      </c>
      <c r="W66" s="280">
        <v>6.2799999999999995E-2</v>
      </c>
      <c r="X66" s="280">
        <v>4.0599999999999997E-2</v>
      </c>
    </row>
    <row r="67" spans="1:24">
      <c r="A67" s="108" t="s">
        <v>129</v>
      </c>
      <c r="B67" s="114" t="s">
        <v>130</v>
      </c>
      <c r="C67" s="105" t="s">
        <v>115</v>
      </c>
      <c r="D67" s="106" t="s">
        <v>116</v>
      </c>
      <c r="E67" s="109">
        <v>420</v>
      </c>
      <c r="F67" s="110">
        <v>335</v>
      </c>
      <c r="G67" s="110">
        <v>35.9</v>
      </c>
      <c r="H67" s="110">
        <v>49.3</v>
      </c>
      <c r="I67" s="113">
        <v>1.01</v>
      </c>
      <c r="J67" s="278">
        <v>0.74399999999999999</v>
      </c>
      <c r="K67" s="279">
        <v>9.7600000000000006E-2</v>
      </c>
      <c r="L67" s="279">
        <v>0.17199999999999999</v>
      </c>
      <c r="M67" s="113">
        <v>4.87E-2</v>
      </c>
      <c r="N67" s="278">
        <v>3.0499999999999999E-2</v>
      </c>
      <c r="O67" s="279">
        <v>5.7000000000000002E-3</v>
      </c>
      <c r="P67" s="279">
        <v>1.26E-2</v>
      </c>
      <c r="Q67" s="113">
        <v>0.96299999999999997</v>
      </c>
      <c r="R67" s="278">
        <v>0.71199999999999997</v>
      </c>
      <c r="S67" s="279">
        <v>9.1899999999999996E-2</v>
      </c>
      <c r="T67" s="279">
        <v>0.16</v>
      </c>
      <c r="U67" s="111">
        <v>0.23</v>
      </c>
      <c r="V67" s="279">
        <v>0.191</v>
      </c>
      <c r="W67" s="280">
        <v>1.8800000000000001E-2</v>
      </c>
      <c r="X67" s="280">
        <v>2.01E-2</v>
      </c>
    </row>
    <row r="68" spans="1:24">
      <c r="A68" s="108" t="s">
        <v>131</v>
      </c>
      <c r="B68" s="114" t="s">
        <v>132</v>
      </c>
      <c r="C68" s="105" t="s">
        <v>115</v>
      </c>
      <c r="D68" s="106" t="s">
        <v>116</v>
      </c>
      <c r="E68" s="109">
        <v>341</v>
      </c>
      <c r="F68" s="110">
        <v>274</v>
      </c>
      <c r="G68" s="110">
        <v>29.1</v>
      </c>
      <c r="H68" s="110">
        <v>38.200000000000003</v>
      </c>
      <c r="I68" s="113">
        <v>0.79400000000000004</v>
      </c>
      <c r="J68" s="278">
        <v>0.58599999999999997</v>
      </c>
      <c r="K68" s="279">
        <v>7.6600000000000001E-2</v>
      </c>
      <c r="L68" s="279">
        <v>0.13100000000000001</v>
      </c>
      <c r="M68" s="113">
        <v>3.6299999999999999E-2</v>
      </c>
      <c r="N68" s="278">
        <v>2.4E-2</v>
      </c>
      <c r="O68" s="279">
        <v>4.3299999999999996E-3</v>
      </c>
      <c r="P68" s="279">
        <v>7.9900000000000006E-3</v>
      </c>
      <c r="Q68" s="113">
        <v>0.75600000000000001</v>
      </c>
      <c r="R68" s="278">
        <v>0.56000000000000005</v>
      </c>
      <c r="S68" s="279">
        <v>7.2300000000000003E-2</v>
      </c>
      <c r="T68" s="279">
        <v>0.123</v>
      </c>
      <c r="U68" s="111">
        <v>0.18099999999999999</v>
      </c>
      <c r="V68" s="279">
        <v>0.15</v>
      </c>
      <c r="W68" s="280">
        <v>1.5100000000000001E-2</v>
      </c>
      <c r="X68" s="280">
        <v>1.61E-2</v>
      </c>
    </row>
    <row r="69" spans="1:24">
      <c r="A69" s="108" t="s">
        <v>133</v>
      </c>
      <c r="B69" s="114" t="s">
        <v>134</v>
      </c>
      <c r="C69" s="105" t="s">
        <v>115</v>
      </c>
      <c r="D69" s="106" t="s">
        <v>116</v>
      </c>
      <c r="E69" s="109">
        <v>212</v>
      </c>
      <c r="F69" s="110">
        <v>159</v>
      </c>
      <c r="G69" s="110">
        <v>20.3</v>
      </c>
      <c r="H69" s="110">
        <v>31.9</v>
      </c>
      <c r="I69" s="113">
        <v>0.52</v>
      </c>
      <c r="J69" s="278">
        <v>0.35599999999999998</v>
      </c>
      <c r="K69" s="279">
        <v>5.57E-2</v>
      </c>
      <c r="L69" s="279">
        <v>0.108</v>
      </c>
      <c r="M69" s="113">
        <v>2.2599999999999999E-2</v>
      </c>
      <c r="N69" s="278">
        <v>1.46E-2</v>
      </c>
      <c r="O69" s="279">
        <v>3.0100000000000001E-3</v>
      </c>
      <c r="P69" s="279">
        <v>5.0499999999999998E-3</v>
      </c>
      <c r="Q69" s="113">
        <v>0.496</v>
      </c>
      <c r="R69" s="278">
        <v>0.34</v>
      </c>
      <c r="S69" s="279">
        <v>5.2699999999999997E-2</v>
      </c>
      <c r="T69" s="279">
        <v>0.10299999999999999</v>
      </c>
      <c r="U69" s="111">
        <v>0.11700000000000001</v>
      </c>
      <c r="V69" s="279">
        <v>9.2200000000000004E-2</v>
      </c>
      <c r="W69" s="280">
        <v>1.04E-2</v>
      </c>
      <c r="X69" s="280">
        <v>1.3899999999999999E-2</v>
      </c>
    </row>
    <row r="72" spans="1:24" ht="36">
      <c r="A72" s="194" t="s">
        <v>9</v>
      </c>
      <c r="B72" s="555" t="s">
        <v>200</v>
      </c>
      <c r="C72" s="557" t="s">
        <v>201</v>
      </c>
      <c r="D72" s="558"/>
      <c r="E72" s="195" t="s">
        <v>202</v>
      </c>
      <c r="F72" s="559" t="s">
        <v>13</v>
      </c>
      <c r="G72" s="560"/>
      <c r="H72" s="560"/>
      <c r="I72" s="561"/>
      <c r="J72" s="196" t="s">
        <v>137</v>
      </c>
    </row>
    <row r="73" spans="1:24" ht="24">
      <c r="A73" s="562" t="s">
        <v>15</v>
      </c>
      <c r="B73" s="556"/>
      <c r="C73" s="197"/>
      <c r="D73" s="198"/>
      <c r="E73" s="199"/>
      <c r="F73" s="200" t="s">
        <v>17</v>
      </c>
      <c r="G73" s="200" t="s">
        <v>18</v>
      </c>
      <c r="H73" s="201" t="s">
        <v>138</v>
      </c>
      <c r="I73" s="201" t="s">
        <v>203</v>
      </c>
      <c r="J73" s="202" t="s">
        <v>20</v>
      </c>
    </row>
    <row r="74" spans="1:24" ht="31.5">
      <c r="A74" s="563"/>
      <c r="B74" s="556"/>
      <c r="C74" s="200" t="s">
        <v>139</v>
      </c>
      <c r="D74" s="203"/>
      <c r="E74" s="199"/>
      <c r="F74" s="202" t="s">
        <v>22</v>
      </c>
      <c r="G74" s="202" t="s">
        <v>23</v>
      </c>
      <c r="H74" s="204" t="s">
        <v>140</v>
      </c>
      <c r="I74" s="204" t="s">
        <v>204</v>
      </c>
      <c r="J74" s="202" t="s">
        <v>25</v>
      </c>
    </row>
    <row r="75" spans="1:24" ht="24">
      <c r="A75" s="205"/>
      <c r="B75" s="206"/>
      <c r="C75" s="207"/>
      <c r="D75" s="208" t="s">
        <v>205</v>
      </c>
      <c r="E75" s="209" t="s">
        <v>16</v>
      </c>
      <c r="F75" s="291" t="s">
        <v>28</v>
      </c>
      <c r="G75" s="291" t="s">
        <v>28</v>
      </c>
      <c r="H75" s="291" t="s">
        <v>28</v>
      </c>
      <c r="I75" s="291" t="s">
        <v>28</v>
      </c>
      <c r="J75" s="144" t="s">
        <v>29</v>
      </c>
    </row>
    <row r="76" spans="1:24">
      <c r="A76" s="101" t="s">
        <v>193</v>
      </c>
      <c r="B76" s="231" t="s">
        <v>228</v>
      </c>
      <c r="C76" s="188"/>
      <c r="D76" s="189"/>
      <c r="E76" s="189"/>
      <c r="F76" s="189"/>
      <c r="G76" s="189"/>
      <c r="H76" s="190"/>
      <c r="I76" s="190"/>
      <c r="J76" s="189"/>
    </row>
    <row r="77" spans="1:24">
      <c r="A77" s="108" t="s">
        <v>194</v>
      </c>
      <c r="B77" s="191" t="s">
        <v>195</v>
      </c>
      <c r="C77" s="192" t="s">
        <v>196</v>
      </c>
      <c r="D77" s="192" t="s">
        <v>154</v>
      </c>
      <c r="E77" s="277">
        <v>408</v>
      </c>
      <c r="F77" s="193">
        <v>1.26</v>
      </c>
      <c r="G77" s="193">
        <v>1.35E-2</v>
      </c>
      <c r="H77" s="193">
        <v>1.25</v>
      </c>
      <c r="I77" s="193">
        <v>0</v>
      </c>
      <c r="J77" s="193">
        <v>0.32400000000000001</v>
      </c>
    </row>
    <row r="78" spans="1:24">
      <c r="A78" s="108" t="s">
        <v>197</v>
      </c>
      <c r="B78" s="191" t="s">
        <v>198</v>
      </c>
      <c r="C78" s="192" t="s">
        <v>196</v>
      </c>
      <c r="D78" s="192" t="s">
        <v>154</v>
      </c>
      <c r="E78" s="277">
        <v>274</v>
      </c>
      <c r="F78" s="193">
        <v>1.05</v>
      </c>
      <c r="G78" s="193">
        <v>2.8700000000000002E-3</v>
      </c>
      <c r="H78" s="193">
        <v>1.05</v>
      </c>
      <c r="I78" s="193">
        <v>0</v>
      </c>
      <c r="J78" s="193">
        <v>0.23</v>
      </c>
    </row>
    <row r="79" spans="1:24">
      <c r="A79" s="108" t="s">
        <v>303</v>
      </c>
      <c r="B79" s="191" t="s">
        <v>304</v>
      </c>
      <c r="C79" s="192" t="s">
        <v>196</v>
      </c>
      <c r="D79" s="192" t="s">
        <v>154</v>
      </c>
      <c r="E79" s="277">
        <v>367</v>
      </c>
      <c r="F79" s="193">
        <v>1.22</v>
      </c>
      <c r="G79" s="193">
        <v>5.62E-3</v>
      </c>
      <c r="H79" s="193">
        <v>1.21</v>
      </c>
      <c r="I79" s="193">
        <v>0</v>
      </c>
      <c r="J79" s="193">
        <v>0.29199999999999998</v>
      </c>
    </row>
    <row r="80" spans="1:24">
      <c r="A80" s="108" t="s">
        <v>305</v>
      </c>
      <c r="B80" s="191" t="s">
        <v>306</v>
      </c>
      <c r="C80" s="192" t="s">
        <v>196</v>
      </c>
      <c r="D80" s="192" t="s">
        <v>154</v>
      </c>
      <c r="E80" s="277">
        <v>596</v>
      </c>
      <c r="F80" s="193">
        <v>1.44</v>
      </c>
      <c r="G80" s="193">
        <v>1.43E-2</v>
      </c>
      <c r="H80" s="193">
        <v>1.43</v>
      </c>
      <c r="I80" s="193">
        <v>0</v>
      </c>
      <c r="J80" s="193">
        <v>0.434</v>
      </c>
    </row>
    <row r="81" spans="1:10">
      <c r="A81" s="108" t="s">
        <v>307</v>
      </c>
      <c r="B81" s="191" t="s">
        <v>308</v>
      </c>
      <c r="C81" s="192" t="s">
        <v>196</v>
      </c>
      <c r="D81" s="192" t="s">
        <v>154</v>
      </c>
      <c r="E81" s="277">
        <v>726</v>
      </c>
      <c r="F81" s="193">
        <v>1.18</v>
      </c>
      <c r="G81" s="193">
        <v>9.2899999999999996E-3</v>
      </c>
      <c r="H81" s="193">
        <v>1.18</v>
      </c>
      <c r="I81" s="193">
        <v>0</v>
      </c>
      <c r="J81" s="193">
        <v>0.39800000000000002</v>
      </c>
    </row>
    <row r="82" spans="1:10">
      <c r="A82" s="108" t="s">
        <v>309</v>
      </c>
      <c r="B82" s="191" t="s">
        <v>310</v>
      </c>
      <c r="C82" s="192" t="s">
        <v>196</v>
      </c>
      <c r="D82" s="192" t="s">
        <v>154</v>
      </c>
      <c r="E82" s="296">
        <v>175</v>
      </c>
      <c r="F82" s="297">
        <v>1.05</v>
      </c>
      <c r="G82" s="297">
        <v>1.01</v>
      </c>
      <c r="H82" s="297">
        <v>4.3900000000000002E-2</v>
      </c>
      <c r="I82" s="297">
        <v>0</v>
      </c>
      <c r="J82" s="297">
        <v>2.3E-2</v>
      </c>
    </row>
    <row r="83" spans="1:10">
      <c r="A83" s="108" t="s">
        <v>311</v>
      </c>
      <c r="B83" s="191" t="s">
        <v>312</v>
      </c>
      <c r="C83" s="192" t="s">
        <v>196</v>
      </c>
      <c r="D83" s="192" t="s">
        <v>154</v>
      </c>
      <c r="E83" s="296">
        <v>175</v>
      </c>
      <c r="F83" s="297">
        <v>1.05</v>
      </c>
      <c r="G83" s="297">
        <v>1.01</v>
      </c>
      <c r="H83" s="297">
        <v>4.3900000000000002E-2</v>
      </c>
      <c r="I83" s="297">
        <v>0</v>
      </c>
      <c r="J83" s="297">
        <v>2.3E-2</v>
      </c>
    </row>
    <row r="84" spans="1:10">
      <c r="A84" s="108" t="s">
        <v>313</v>
      </c>
      <c r="B84" s="191" t="s">
        <v>314</v>
      </c>
      <c r="C84" s="192" t="s">
        <v>196</v>
      </c>
      <c r="D84" s="192" t="s">
        <v>154</v>
      </c>
      <c r="E84" s="296">
        <v>115</v>
      </c>
      <c r="F84" s="297">
        <v>1.06</v>
      </c>
      <c r="G84" s="297">
        <v>1.03</v>
      </c>
      <c r="H84" s="297">
        <v>3.0700000000000002E-2</v>
      </c>
      <c r="I84" s="297">
        <v>0</v>
      </c>
      <c r="J84" s="297">
        <v>1.0699999999999999E-2</v>
      </c>
    </row>
    <row r="85" spans="1:10">
      <c r="A85" s="108" t="s">
        <v>315</v>
      </c>
      <c r="B85" s="191" t="s">
        <v>316</v>
      </c>
      <c r="C85" s="192" t="s">
        <v>196</v>
      </c>
      <c r="D85" s="192" t="s">
        <v>154</v>
      </c>
      <c r="E85" s="296">
        <v>115</v>
      </c>
      <c r="F85" s="297">
        <v>1.06</v>
      </c>
      <c r="G85" s="297">
        <v>1.03</v>
      </c>
      <c r="H85" s="297">
        <v>3.0700000000000002E-2</v>
      </c>
      <c r="I85" s="297">
        <v>0</v>
      </c>
      <c r="J85" s="297">
        <v>1.0699999999999999E-2</v>
      </c>
    </row>
    <row r="86" spans="1:10">
      <c r="A86" s="108" t="s">
        <v>317</v>
      </c>
      <c r="B86" s="191" t="s">
        <v>318</v>
      </c>
      <c r="C86" s="192" t="s">
        <v>196</v>
      </c>
      <c r="D86" s="192" t="s">
        <v>154</v>
      </c>
      <c r="E86" s="296">
        <v>110</v>
      </c>
      <c r="F86" s="297">
        <v>1.18</v>
      </c>
      <c r="G86" s="297">
        <v>1.05</v>
      </c>
      <c r="H86" s="297">
        <v>0.128</v>
      </c>
      <c r="I86" s="297">
        <v>0</v>
      </c>
      <c r="J86" s="297">
        <v>2.7699999999999999E-2</v>
      </c>
    </row>
    <row r="87" spans="1:10">
      <c r="A87" s="108" t="s">
        <v>319</v>
      </c>
      <c r="B87" s="191" t="s">
        <v>320</v>
      </c>
      <c r="C87" s="192" t="s">
        <v>196</v>
      </c>
      <c r="D87" s="192" t="s">
        <v>154</v>
      </c>
      <c r="E87" s="296">
        <v>110</v>
      </c>
      <c r="F87" s="297">
        <v>1.18</v>
      </c>
      <c r="G87" s="297">
        <v>1.05</v>
      </c>
      <c r="H87" s="297">
        <v>0.128</v>
      </c>
      <c r="I87" s="297">
        <v>0</v>
      </c>
      <c r="J87" s="297">
        <v>2.7699999999999999E-2</v>
      </c>
    </row>
    <row r="88" spans="1:10">
      <c r="A88" s="108" t="s">
        <v>321</v>
      </c>
      <c r="B88" s="191" t="s">
        <v>322</v>
      </c>
      <c r="C88" s="192" t="s">
        <v>196</v>
      </c>
      <c r="D88" s="192" t="s">
        <v>154</v>
      </c>
      <c r="E88" s="296">
        <v>155</v>
      </c>
      <c r="F88" s="297">
        <v>0.32100000000000001</v>
      </c>
      <c r="G88" s="297">
        <v>2.8199999999999999E-2</v>
      </c>
      <c r="H88" s="297">
        <v>0.29299999999999998</v>
      </c>
      <c r="I88" s="297">
        <v>0</v>
      </c>
      <c r="J88" s="297">
        <v>0.124</v>
      </c>
    </row>
    <row r="89" spans="1:10">
      <c r="A89" s="108" t="s">
        <v>199</v>
      </c>
      <c r="B89" s="191" t="s">
        <v>246</v>
      </c>
      <c r="C89" s="192" t="s">
        <v>196</v>
      </c>
      <c r="D89" s="192" t="s">
        <v>154</v>
      </c>
      <c r="E89" s="277">
        <v>934</v>
      </c>
      <c r="F89" s="193">
        <v>3.14</v>
      </c>
      <c r="G89" s="193">
        <v>0.27500000000000002</v>
      </c>
      <c r="H89" s="193">
        <v>2.87</v>
      </c>
      <c r="I89" s="193">
        <v>0</v>
      </c>
      <c r="J89" s="193">
        <v>0.52200000000000002</v>
      </c>
    </row>
    <row r="90" spans="1:10">
      <c r="A90" s="108" t="s">
        <v>275</v>
      </c>
      <c r="B90" s="191" t="s">
        <v>276</v>
      </c>
      <c r="C90" s="192" t="s">
        <v>196</v>
      </c>
      <c r="D90" s="192" t="s">
        <v>154</v>
      </c>
      <c r="E90" s="296">
        <v>172</v>
      </c>
      <c r="F90" s="297">
        <v>2.06</v>
      </c>
      <c r="G90" s="297">
        <v>1.93</v>
      </c>
      <c r="H90" s="297">
        <v>0.125</v>
      </c>
      <c r="I90" s="297">
        <v>0</v>
      </c>
      <c r="J90" s="297">
        <v>3.73E-2</v>
      </c>
    </row>
    <row r="91" spans="1:10">
      <c r="A91" s="108" t="s">
        <v>277</v>
      </c>
      <c r="B91" s="191" t="s">
        <v>278</v>
      </c>
      <c r="C91" s="192" t="s">
        <v>196</v>
      </c>
      <c r="D91" s="192" t="s">
        <v>154</v>
      </c>
      <c r="E91" s="296">
        <v>825</v>
      </c>
      <c r="F91" s="297">
        <v>2.84</v>
      </c>
      <c r="G91" s="297">
        <v>1.0500000000000001E-2</v>
      </c>
      <c r="H91" s="297">
        <v>2.83</v>
      </c>
      <c r="I91" s="297">
        <v>0</v>
      </c>
      <c r="J91" s="297">
        <v>0.64700000000000002</v>
      </c>
    </row>
    <row r="92" spans="1:10">
      <c r="A92" s="108" t="s">
        <v>279</v>
      </c>
      <c r="B92" s="191" t="s">
        <v>280</v>
      </c>
      <c r="C92" s="192" t="s">
        <v>196</v>
      </c>
      <c r="D92" s="192" t="s">
        <v>154</v>
      </c>
      <c r="E92" s="277">
        <v>509</v>
      </c>
      <c r="F92" s="193">
        <v>0.89600000000000002</v>
      </c>
      <c r="G92" s="193">
        <v>7.7399999999999997E-2</v>
      </c>
      <c r="H92" s="193">
        <v>0.81799999999999995</v>
      </c>
      <c r="I92" s="193">
        <v>0</v>
      </c>
      <c r="J92" s="193">
        <v>0.36299999999999999</v>
      </c>
    </row>
    <row r="93" spans="1:10">
      <c r="A93" s="108" t="s">
        <v>281</v>
      </c>
      <c r="B93" s="191" t="s">
        <v>282</v>
      </c>
      <c r="C93" s="192" t="s">
        <v>196</v>
      </c>
      <c r="D93" s="192" t="s">
        <v>154</v>
      </c>
      <c r="E93" s="296">
        <v>151</v>
      </c>
      <c r="F93" s="297">
        <v>1.36</v>
      </c>
      <c r="G93" s="297">
        <v>1.2</v>
      </c>
      <c r="H93" s="297">
        <v>0.159</v>
      </c>
      <c r="I93" s="297">
        <v>0</v>
      </c>
      <c r="J93" s="297">
        <v>4.7500000000000001E-2</v>
      </c>
    </row>
    <row r="94" spans="1:10">
      <c r="A94" s="108" t="s">
        <v>283</v>
      </c>
      <c r="B94" s="191" t="s">
        <v>284</v>
      </c>
      <c r="C94" s="192" t="s">
        <v>196</v>
      </c>
      <c r="D94" s="192" t="s">
        <v>154</v>
      </c>
      <c r="E94" s="277">
        <v>110</v>
      </c>
      <c r="F94" s="193">
        <v>1.29</v>
      </c>
      <c r="G94" s="193">
        <v>1.2</v>
      </c>
      <c r="H94" s="193">
        <v>8.6999999999999994E-2</v>
      </c>
      <c r="I94" s="193">
        <v>0</v>
      </c>
      <c r="J94" s="193">
        <v>2.8199999999999999E-2</v>
      </c>
    </row>
    <row r="95" spans="1:10">
      <c r="A95" s="108" t="s">
        <v>285</v>
      </c>
      <c r="B95" s="191" t="s">
        <v>286</v>
      </c>
      <c r="C95" s="192" t="s">
        <v>196</v>
      </c>
      <c r="D95" s="192" t="s">
        <v>154</v>
      </c>
      <c r="E95" s="277">
        <v>76.8</v>
      </c>
      <c r="F95" s="193">
        <v>1.19</v>
      </c>
      <c r="G95" s="193">
        <v>1.17</v>
      </c>
      <c r="H95" s="193">
        <v>2.46E-2</v>
      </c>
      <c r="I95" s="193">
        <v>0</v>
      </c>
      <c r="J95" s="193">
        <v>1.23E-2</v>
      </c>
    </row>
    <row r="96" spans="1:10">
      <c r="A96" s="108" t="s">
        <v>287</v>
      </c>
      <c r="B96" s="191" t="s">
        <v>288</v>
      </c>
      <c r="C96" s="192" t="s">
        <v>196</v>
      </c>
      <c r="D96" s="192" t="s">
        <v>154</v>
      </c>
      <c r="E96" s="296">
        <v>513</v>
      </c>
      <c r="F96" s="297">
        <v>2.64</v>
      </c>
      <c r="G96" s="297">
        <v>0.55600000000000005</v>
      </c>
      <c r="H96" s="297">
        <v>2.08</v>
      </c>
      <c r="I96" s="297">
        <v>0</v>
      </c>
      <c r="J96" s="297">
        <v>0.125</v>
      </c>
    </row>
    <row r="97" spans="1:20">
      <c r="A97" s="108" t="s">
        <v>289</v>
      </c>
      <c r="B97" s="191" t="s">
        <v>290</v>
      </c>
      <c r="C97" s="192" t="s">
        <v>196</v>
      </c>
      <c r="D97" s="192" t="s">
        <v>154</v>
      </c>
      <c r="E97" s="296">
        <v>81.599999999999994</v>
      </c>
      <c r="F97" s="297">
        <v>1.19</v>
      </c>
      <c r="G97" s="297">
        <v>1.1599999999999999</v>
      </c>
      <c r="H97" s="297">
        <v>3.2500000000000001E-2</v>
      </c>
      <c r="I97" s="297">
        <v>0</v>
      </c>
      <c r="J97" s="297">
        <v>1.5299999999999999E-2</v>
      </c>
    </row>
    <row r="102" spans="1:20" ht="18">
      <c r="B102" s="294" t="s">
        <v>272</v>
      </c>
    </row>
    <row r="104" spans="1:20" ht="14.25">
      <c r="A104" s="72"/>
      <c r="B104" s="73" t="s">
        <v>218</v>
      </c>
      <c r="C104" s="74" t="s">
        <v>79</v>
      </c>
      <c r="D104" s="75"/>
      <c r="E104" s="80"/>
      <c r="F104" s="80"/>
      <c r="G104" s="80"/>
      <c r="H104" s="99"/>
      <c r="I104" s="79"/>
      <c r="J104" s="96"/>
      <c r="K104" s="99"/>
      <c r="L104" s="79"/>
      <c r="M104" s="96"/>
      <c r="N104" s="78"/>
      <c r="O104" s="79"/>
      <c r="P104" s="79"/>
      <c r="Q104" s="78"/>
      <c r="R104" s="79"/>
      <c r="S104" s="79"/>
      <c r="T104" s="79"/>
    </row>
    <row r="105" spans="1:20" ht="14.25">
      <c r="A105" s="98" t="s">
        <v>91</v>
      </c>
      <c r="B105" s="82" t="s">
        <v>92</v>
      </c>
      <c r="C105" s="100" t="s">
        <v>62</v>
      </c>
      <c r="D105" s="84" t="s">
        <v>80</v>
      </c>
      <c r="E105" s="85">
        <v>6260</v>
      </c>
      <c r="F105" s="86">
        <v>6260</v>
      </c>
      <c r="G105" s="86">
        <v>0</v>
      </c>
      <c r="H105" s="87">
        <v>17.100000000000001</v>
      </c>
      <c r="I105" s="269">
        <v>17.100000000000001</v>
      </c>
      <c r="J105" s="269">
        <v>0</v>
      </c>
      <c r="K105" s="87">
        <v>0.57499999999999996</v>
      </c>
      <c r="L105" s="269">
        <v>0.57499999999999996</v>
      </c>
      <c r="M105" s="269">
        <v>0</v>
      </c>
      <c r="N105" s="87">
        <v>16.600000000000001</v>
      </c>
      <c r="O105" s="269">
        <v>16.600000000000001</v>
      </c>
      <c r="P105" s="269">
        <v>0</v>
      </c>
      <c r="Q105" s="92">
        <v>3.64</v>
      </c>
      <c r="R105" s="93">
        <v>3.64</v>
      </c>
      <c r="S105" s="89">
        <v>0</v>
      </c>
      <c r="T105" s="269">
        <v>0</v>
      </c>
    </row>
    <row r="106" spans="1:20" ht="14.25">
      <c r="A106" s="98" t="s">
        <v>93</v>
      </c>
      <c r="B106" s="82" t="s">
        <v>94</v>
      </c>
      <c r="C106" s="100" t="s">
        <v>62</v>
      </c>
      <c r="D106" s="84" t="s">
        <v>80</v>
      </c>
      <c r="E106" s="85">
        <v>6750</v>
      </c>
      <c r="F106" s="86">
        <v>6750</v>
      </c>
      <c r="G106" s="86">
        <v>0</v>
      </c>
      <c r="H106" s="87">
        <v>21.8</v>
      </c>
      <c r="I106" s="269">
        <v>21.8</v>
      </c>
      <c r="J106" s="269">
        <v>0</v>
      </c>
      <c r="K106" s="87">
        <v>0.69399999999999995</v>
      </c>
      <c r="L106" s="269">
        <v>0.69399999999999995</v>
      </c>
      <c r="M106" s="269">
        <v>0</v>
      </c>
      <c r="N106" s="87">
        <v>21.1</v>
      </c>
      <c r="O106" s="269">
        <v>21.1</v>
      </c>
      <c r="P106" s="269">
        <v>0</v>
      </c>
      <c r="Q106" s="92">
        <v>4.38</v>
      </c>
      <c r="R106" s="93">
        <v>4.38</v>
      </c>
      <c r="S106" s="89">
        <v>0</v>
      </c>
      <c r="T106" s="269">
        <v>0</v>
      </c>
    </row>
    <row r="107" spans="1:20" ht="14.25">
      <c r="A107" s="98" t="s">
        <v>95</v>
      </c>
      <c r="B107" s="82" t="s">
        <v>96</v>
      </c>
      <c r="C107" s="100" t="s">
        <v>62</v>
      </c>
      <c r="D107" s="84" t="s">
        <v>80</v>
      </c>
      <c r="E107" s="85">
        <v>6320</v>
      </c>
      <c r="F107" s="86">
        <v>6320</v>
      </c>
      <c r="G107" s="86">
        <v>0</v>
      </c>
      <c r="H107" s="87">
        <v>5.3</v>
      </c>
      <c r="I107" s="269">
        <v>5.3</v>
      </c>
      <c r="J107" s="269">
        <v>0</v>
      </c>
      <c r="K107" s="87">
        <v>0.85499999999999998</v>
      </c>
      <c r="L107" s="269">
        <v>0.85499999999999998</v>
      </c>
      <c r="M107" s="269">
        <v>0</v>
      </c>
      <c r="N107" s="87">
        <v>4.45</v>
      </c>
      <c r="O107" s="269">
        <v>4.45</v>
      </c>
      <c r="P107" s="269">
        <v>0</v>
      </c>
      <c r="Q107" s="90">
        <v>0.60899999999999999</v>
      </c>
      <c r="R107" s="91">
        <v>0.60899999999999999</v>
      </c>
      <c r="S107" s="89">
        <v>0</v>
      </c>
      <c r="T107" s="269">
        <v>0</v>
      </c>
    </row>
    <row r="108" spans="1:20" ht="14.25">
      <c r="A108" s="228" t="s">
        <v>206</v>
      </c>
      <c r="B108" s="82" t="s">
        <v>207</v>
      </c>
      <c r="C108" s="84">
        <v>11.6</v>
      </c>
      <c r="D108" s="84" t="s">
        <v>80</v>
      </c>
      <c r="E108" s="85">
        <v>73300</v>
      </c>
      <c r="F108" s="86">
        <v>58300</v>
      </c>
      <c r="G108" s="86">
        <v>15000</v>
      </c>
      <c r="H108" s="293">
        <v>281</v>
      </c>
      <c r="I108" s="269">
        <v>278</v>
      </c>
      <c r="J108" s="269">
        <v>3.25</v>
      </c>
      <c r="K108" s="293">
        <v>83.7</v>
      </c>
      <c r="L108" s="269">
        <v>83.5</v>
      </c>
      <c r="M108" s="269">
        <v>0.2</v>
      </c>
      <c r="N108" s="293">
        <v>198</v>
      </c>
      <c r="O108" s="269">
        <v>195</v>
      </c>
      <c r="P108" s="269">
        <v>3.05</v>
      </c>
      <c r="Q108" s="97">
        <v>45.9</v>
      </c>
      <c r="R108" s="88">
        <v>33.299999999999997</v>
      </c>
      <c r="S108" s="88">
        <v>12.6</v>
      </c>
      <c r="T108" s="269">
        <v>3.28</v>
      </c>
    </row>
    <row r="109" spans="1:20">
      <c r="A109" s="81" t="s">
        <v>76</v>
      </c>
      <c r="B109" s="82" t="s">
        <v>77</v>
      </c>
      <c r="C109" s="83">
        <v>920</v>
      </c>
      <c r="D109" s="84" t="s">
        <v>31</v>
      </c>
      <c r="E109" s="85">
        <v>7090</v>
      </c>
      <c r="F109" s="86">
        <v>4280</v>
      </c>
      <c r="G109" s="86">
        <v>2810</v>
      </c>
      <c r="H109" s="87">
        <v>26.5</v>
      </c>
      <c r="I109" s="269">
        <v>26.3</v>
      </c>
      <c r="J109" s="269">
        <v>0.22</v>
      </c>
      <c r="K109" s="87">
        <v>0.54300000000000004</v>
      </c>
      <c r="L109" s="269">
        <v>0.53200000000000003</v>
      </c>
      <c r="M109" s="269">
        <v>1.0800000000000001E-2</v>
      </c>
      <c r="N109" s="87">
        <v>26</v>
      </c>
      <c r="O109" s="269">
        <v>25.7</v>
      </c>
      <c r="P109" s="269">
        <v>0.20899999999999999</v>
      </c>
      <c r="Q109" s="92">
        <v>5.63</v>
      </c>
      <c r="R109" s="93">
        <v>2.96</v>
      </c>
      <c r="S109" s="93">
        <v>2.67</v>
      </c>
      <c r="T109" s="269">
        <v>0</v>
      </c>
    </row>
  </sheetData>
  <sheetProtection algorithmName="SHA-512" hashValue="DxJsIO3f9RwYJPsNuOJ8kB1A0Sl9fFWCdBgaV47DgtEhuO3CO/WaQ93yr9yLWUMN/317jsjy1xa9BD4cVHD5uw==" saltValue="URF/fLZqJUH4oT4Qeyc9yQ==" spinCount="100000" sheet="1" objects="1" scenarios="1" selectLockedCells="1" selectUnlockedCells="1"/>
  <mergeCells count="73">
    <mergeCell ref="N11:P11"/>
    <mergeCell ref="B72:B74"/>
    <mergeCell ref="C72:D72"/>
    <mergeCell ref="F72:I72"/>
    <mergeCell ref="A73:A74"/>
    <mergeCell ref="A10:A11"/>
    <mergeCell ref="E10:G11"/>
    <mergeCell ref="H10:J10"/>
    <mergeCell ref="A54:A55"/>
    <mergeCell ref="E54:H55"/>
    <mergeCell ref="Q11:S11"/>
    <mergeCell ref="Q9:S9"/>
    <mergeCell ref="Q10:S10"/>
    <mergeCell ref="B53:B55"/>
    <mergeCell ref="E53:H53"/>
    <mergeCell ref="I53:T53"/>
    <mergeCell ref="K10:M10"/>
    <mergeCell ref="B9:B11"/>
    <mergeCell ref="C9:C10"/>
    <mergeCell ref="D9:D14"/>
    <mergeCell ref="E9:G9"/>
    <mergeCell ref="H9:P9"/>
    <mergeCell ref="N10:P10"/>
    <mergeCell ref="C11:C13"/>
    <mergeCell ref="H11:J11"/>
    <mergeCell ref="K11:M11"/>
    <mergeCell ref="U54:X54"/>
    <mergeCell ref="I55:L55"/>
    <mergeCell ref="M55:P55"/>
    <mergeCell ref="Q55:T55"/>
    <mergeCell ref="U55:X55"/>
    <mergeCell ref="I54:L54"/>
    <mergeCell ref="M54:P54"/>
    <mergeCell ref="Q54:T54"/>
    <mergeCell ref="U9:X11"/>
    <mergeCell ref="U12:X14"/>
    <mergeCell ref="U15:X15"/>
    <mergeCell ref="U16:X16"/>
    <mergeCell ref="U53:X53"/>
    <mergeCell ref="U17:X17"/>
    <mergeCell ref="U18:X18"/>
    <mergeCell ref="U19:X19"/>
    <mergeCell ref="U20:X20"/>
    <mergeCell ref="U21:X21"/>
    <mergeCell ref="U22:X22"/>
    <mergeCell ref="U23:X23"/>
    <mergeCell ref="U24:X24"/>
    <mergeCell ref="U25:X25"/>
    <mergeCell ref="U26:X26"/>
    <mergeCell ref="U27:X27"/>
    <mergeCell ref="U28:X28"/>
    <mergeCell ref="U29:X29"/>
    <mergeCell ref="U30:X30"/>
    <mergeCell ref="U31:X31"/>
    <mergeCell ref="U32:X32"/>
    <mergeCell ref="U33:X33"/>
    <mergeCell ref="U34:X34"/>
    <mergeCell ref="U35:X35"/>
    <mergeCell ref="U36:X36"/>
    <mergeCell ref="U37:X37"/>
    <mergeCell ref="U38:X38"/>
    <mergeCell ref="U39:X39"/>
    <mergeCell ref="U40:X40"/>
    <mergeCell ref="U41:X41"/>
    <mergeCell ref="U47:X47"/>
    <mergeCell ref="U48:X48"/>
    <mergeCell ref="U49:X49"/>
    <mergeCell ref="U50:X50"/>
    <mergeCell ref="U42:X42"/>
    <mergeCell ref="U43:X43"/>
    <mergeCell ref="U44:X44"/>
    <mergeCell ref="U45:X45"/>
    <mergeCell ref="U46:X46"/>
  </mergeCells>
  <phoneticPr fontId="66" type="noConversion"/>
  <conditionalFormatting sqref="E77:J97">
    <cfRule type="cellIs" dxfId="39" priority="201" operator="equal">
      <formula>0</formula>
    </cfRule>
    <cfRule type="cellIs" dxfId="38" priority="202" operator="greaterThan">
      <formula>100</formula>
    </cfRule>
    <cfRule type="cellIs" dxfId="37" priority="203" operator="between">
      <formula>10</formula>
      <formula>100</formula>
    </cfRule>
    <cfRule type="cellIs" dxfId="36" priority="204" operator="between">
      <formula>1</formula>
      <formula>10</formula>
    </cfRule>
    <cfRule type="cellIs" dxfId="35" priority="205" operator="lessThan">
      <formula>1</formula>
    </cfRule>
  </conditionalFormatting>
  <conditionalFormatting sqref="E105:T109">
    <cfRule type="cellIs" dxfId="34" priority="146" operator="equal">
      <formula>0</formula>
    </cfRule>
    <cfRule type="cellIs" dxfId="33" priority="147" operator="greaterThan">
      <formula>100</formula>
    </cfRule>
    <cfRule type="cellIs" dxfId="32" priority="148" operator="between">
      <formula>10</formula>
      <formula>100</formula>
    </cfRule>
    <cfRule type="cellIs" dxfId="31" priority="149" operator="between">
      <formula>1</formula>
      <formula>10</formula>
    </cfRule>
    <cfRule type="cellIs" dxfId="30" priority="150" operator="between">
      <formula>0.00000001</formula>
      <formula>1</formula>
    </cfRule>
  </conditionalFormatting>
  <conditionalFormatting sqref="E16:U24">
    <cfRule type="cellIs" dxfId="29" priority="11" operator="equal">
      <formula>0</formula>
    </cfRule>
    <cfRule type="cellIs" dxfId="28" priority="12" operator="greaterThan">
      <formula>100</formula>
    </cfRule>
    <cfRule type="cellIs" dxfId="27" priority="13" operator="between">
      <formula>10</formula>
      <formula>100</formula>
    </cfRule>
    <cfRule type="cellIs" dxfId="26" priority="14" operator="between">
      <formula>1</formula>
      <formula>10</formula>
    </cfRule>
    <cfRule type="cellIs" dxfId="25" priority="15" operator="between">
      <formula>0.00000001</formula>
      <formula>1</formula>
    </cfRule>
  </conditionalFormatting>
  <conditionalFormatting sqref="E26:U32">
    <cfRule type="cellIs" dxfId="24" priority="86" operator="equal">
      <formula>0</formula>
    </cfRule>
    <cfRule type="cellIs" dxfId="23" priority="87" operator="greaterThan">
      <formula>100</formula>
    </cfRule>
    <cfRule type="cellIs" dxfId="22" priority="88" operator="between">
      <formula>10</formula>
      <formula>100</formula>
    </cfRule>
    <cfRule type="cellIs" dxfId="21" priority="89" operator="between">
      <formula>1</formula>
      <formula>10</formula>
    </cfRule>
    <cfRule type="cellIs" dxfId="20" priority="90" operator="between">
      <formula>0.00000001</formula>
      <formula>1</formula>
    </cfRule>
  </conditionalFormatting>
  <conditionalFormatting sqref="E34:U46">
    <cfRule type="cellIs" dxfId="19" priority="61" operator="equal">
      <formula>0</formula>
    </cfRule>
    <cfRule type="cellIs" dxfId="18" priority="62" operator="greaterThan">
      <formula>100</formula>
    </cfRule>
    <cfRule type="cellIs" dxfId="17" priority="63" operator="between">
      <formula>10</formula>
      <formula>100</formula>
    </cfRule>
    <cfRule type="cellIs" dxfId="16" priority="64" operator="between">
      <formula>1</formula>
      <formula>10</formula>
    </cfRule>
    <cfRule type="cellIs" dxfId="15" priority="65" operator="between">
      <formula>0.00000001</formula>
      <formula>1</formula>
    </cfRule>
  </conditionalFormatting>
  <conditionalFormatting sqref="E48:U50">
    <cfRule type="cellIs" dxfId="14" priority="46" operator="equal">
      <formula>0</formula>
    </cfRule>
    <cfRule type="cellIs" dxfId="13" priority="47" operator="greaterThan">
      <formula>100</formula>
    </cfRule>
    <cfRule type="cellIs" dxfId="12" priority="48" operator="between">
      <formula>10</formula>
      <formula>100</formula>
    </cfRule>
    <cfRule type="cellIs" dxfId="11" priority="49" operator="between">
      <formula>1</formula>
      <formula>10</formula>
    </cfRule>
    <cfRule type="cellIs" dxfId="10" priority="50" operator="between">
      <formula>0.00000001</formula>
      <formula>1</formula>
    </cfRule>
  </conditionalFormatting>
  <conditionalFormatting sqref="E60:X69">
    <cfRule type="cellIs" dxfId="9" priority="171" operator="equal">
      <formula>0</formula>
    </cfRule>
    <cfRule type="cellIs" dxfId="8" priority="172" operator="greaterThan">
      <formula>100</formula>
    </cfRule>
    <cfRule type="cellIs" dxfId="7" priority="173" operator="between">
      <formula>10</formula>
      <formula>100</formula>
    </cfRule>
    <cfRule type="cellIs" dxfId="6" priority="174" operator="between">
      <formula>1</formula>
      <formula>10</formula>
    </cfRule>
    <cfRule type="cellIs" dxfId="5" priority="175" operator="lessThan">
      <formula>1</formula>
    </cfRule>
  </conditionalFormatting>
  <conditionalFormatting sqref="E79:J88">
    <cfRule type="cellIs" dxfId="4" priority="1" operator="equal">
      <formula>0</formula>
    </cfRule>
    <cfRule type="cellIs" dxfId="3" priority="2" operator="greaterThan">
      <formula>100</formula>
    </cfRule>
    <cfRule type="cellIs" dxfId="2" priority="3" operator="between">
      <formula>10</formula>
      <formula>100</formula>
    </cfRule>
    <cfRule type="cellIs" dxfId="1" priority="4" operator="between">
      <formula>1</formula>
      <formula>10</formula>
    </cfRule>
    <cfRule type="cellIs" dxfId="0" priority="5" operator="lessThan">
      <formula>1</formula>
    </cfRule>
  </conditionalFormatting>
  <pageMargins left="0.39370078740157483" right="0.39370078740157483" top="0.59055118110236227" bottom="0.43307086614173229" header="0.23622047244094491" footer="0.23622047244094491"/>
  <pageSetup paperSize="9" scale="47" fitToHeight="0" orientation="landscape" r:id="rId1"/>
  <headerFooter scaleWithDoc="0" alignWithMargins="0">
    <oddFooter>&amp;C&amp;8&amp;P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48"/>
  <sheetViews>
    <sheetView workbookViewId="0">
      <selection activeCell="C12" sqref="C12"/>
    </sheetView>
  </sheetViews>
  <sheetFormatPr baseColWidth="10" defaultRowHeight="12.75"/>
  <cols>
    <col min="1" max="1" width="42.7109375" customWidth="1"/>
    <col min="12" max="12" width="7.85546875" bestFit="1" customWidth="1"/>
    <col min="13" max="13" width="68.85546875" customWidth="1"/>
  </cols>
  <sheetData>
    <row r="1" spans="1:14" ht="15.75">
      <c r="A1" s="62" t="s">
        <v>35</v>
      </c>
      <c r="B1" s="430"/>
      <c r="C1" s="63"/>
      <c r="D1" s="63"/>
      <c r="E1" s="63"/>
      <c r="F1" s="63"/>
      <c r="G1" s="63"/>
      <c r="H1" s="63"/>
      <c r="I1" s="63"/>
      <c r="J1" s="63"/>
      <c r="K1" s="63"/>
      <c r="L1" s="63"/>
      <c r="M1" s="63"/>
      <c r="N1" s="63"/>
    </row>
    <row r="3" spans="1:14">
      <c r="A3" s="64" t="s">
        <v>36</v>
      </c>
      <c r="B3" s="404" t="s">
        <v>406</v>
      </c>
      <c r="C3" s="64" t="s">
        <v>37</v>
      </c>
      <c r="D3" s="64" t="s">
        <v>38</v>
      </c>
      <c r="E3" s="64" t="s">
        <v>39</v>
      </c>
      <c r="F3" s="64" t="s">
        <v>40</v>
      </c>
      <c r="G3" s="64" t="s">
        <v>41</v>
      </c>
      <c r="H3" s="64" t="s">
        <v>42</v>
      </c>
      <c r="I3" s="64" t="s">
        <v>43</v>
      </c>
      <c r="J3" s="64" t="s">
        <v>44</v>
      </c>
      <c r="K3" s="64" t="s">
        <v>45</v>
      </c>
      <c r="L3" s="64" t="s">
        <v>46</v>
      </c>
      <c r="M3" s="64" t="s">
        <v>221</v>
      </c>
      <c r="N3" s="64" t="s">
        <v>214</v>
      </c>
    </row>
    <row r="4" spans="1:14">
      <c r="A4" s="16" t="s">
        <v>59</v>
      </c>
      <c r="B4" s="431" t="s">
        <v>62</v>
      </c>
      <c r="C4" s="16" t="str">
        <f>'LCA-Daten'!B15</f>
        <v>Metalle</v>
      </c>
      <c r="D4" s="16" t="str">
        <f>'LCA-Daten'!B25</f>
        <v>Holzwerkstoff</v>
      </c>
      <c r="E4" t="str">
        <f>'LCA-Daten'!B33</f>
        <v>Kunststoff</v>
      </c>
      <c r="F4" s="16" t="str">
        <f>'LCA-Daten'!B47</f>
        <v>Bezugsmaterial</v>
      </c>
      <c r="M4" s="16" t="s">
        <v>220</v>
      </c>
      <c r="N4" s="16" t="s">
        <v>227</v>
      </c>
    </row>
    <row r="5" spans="1:14">
      <c r="A5" s="16" t="s">
        <v>212</v>
      </c>
      <c r="B5" s="431" t="s">
        <v>62</v>
      </c>
      <c r="C5" s="230">
        <f>2/('LCA-Daten'!C20/1000*1.5)</f>
        <v>0.16985138004246286</v>
      </c>
      <c r="D5" s="16"/>
      <c r="M5" s="16" t="s">
        <v>222</v>
      </c>
      <c r="N5" s="16" t="s">
        <v>223</v>
      </c>
    </row>
    <row r="6" spans="1:14">
      <c r="A6" s="16" t="s">
        <v>213</v>
      </c>
      <c r="B6" s="431" t="s">
        <v>62</v>
      </c>
      <c r="C6" s="229">
        <f>2/('LCA-Daten'!C17/1000*2)</f>
        <v>0.37174721189591081</v>
      </c>
      <c r="M6" s="16" t="s">
        <v>222</v>
      </c>
      <c r="N6" s="16" t="s">
        <v>224</v>
      </c>
    </row>
    <row r="7" spans="1:14">
      <c r="A7" s="16" t="s">
        <v>215</v>
      </c>
      <c r="B7" s="431" t="s">
        <v>62</v>
      </c>
      <c r="C7" s="229">
        <f>2/('LCA-Daten'!C20/1000*4)</f>
        <v>6.3694267515923567E-2</v>
      </c>
      <c r="M7" s="16" t="s">
        <v>222</v>
      </c>
      <c r="N7" s="16" t="s">
        <v>225</v>
      </c>
    </row>
    <row r="8" spans="1:14">
      <c r="A8" s="16" t="s">
        <v>367</v>
      </c>
      <c r="B8" s="16" t="s">
        <v>330</v>
      </c>
      <c r="C8" s="357">
        <v>0.8</v>
      </c>
      <c r="M8" s="16" t="s">
        <v>368</v>
      </c>
      <c r="N8" s="16" t="s">
        <v>344</v>
      </c>
    </row>
    <row r="9" spans="1:14">
      <c r="A9" s="16" t="s">
        <v>369</v>
      </c>
      <c r="B9" s="16" t="s">
        <v>330</v>
      </c>
      <c r="C9" s="357">
        <v>1.4</v>
      </c>
      <c r="M9" s="16" t="s">
        <v>370</v>
      </c>
      <c r="N9" s="16" t="s">
        <v>344</v>
      </c>
    </row>
    <row r="10" spans="1:14">
      <c r="A10" s="16" t="s">
        <v>359</v>
      </c>
      <c r="B10" s="16" t="s">
        <v>330</v>
      </c>
      <c r="C10" s="357">
        <v>1</v>
      </c>
      <c r="M10" s="16" t="s">
        <v>363</v>
      </c>
    </row>
    <row r="11" spans="1:14">
      <c r="A11" s="16" t="s">
        <v>360</v>
      </c>
      <c r="B11" s="16" t="s">
        <v>330</v>
      </c>
      <c r="C11" s="357">
        <v>0.1</v>
      </c>
      <c r="M11" s="16" t="s">
        <v>364</v>
      </c>
    </row>
    <row r="12" spans="1:14">
      <c r="A12" s="16" t="s">
        <v>361</v>
      </c>
      <c r="B12" s="16" t="s">
        <v>330</v>
      </c>
      <c r="C12" s="453">
        <v>2</v>
      </c>
      <c r="M12" s="16" t="s">
        <v>365</v>
      </c>
    </row>
    <row r="13" spans="1:14">
      <c r="A13" s="16" t="s">
        <v>362</v>
      </c>
      <c r="B13" s="16" t="s">
        <v>330</v>
      </c>
      <c r="C13" s="357">
        <v>0.8</v>
      </c>
      <c r="M13" s="16" t="s">
        <v>366</v>
      </c>
    </row>
    <row r="14" spans="1:14">
      <c r="A14" s="16" t="s">
        <v>239</v>
      </c>
      <c r="B14" s="431" t="s">
        <v>329</v>
      </c>
      <c r="C14">
        <v>0.8</v>
      </c>
      <c r="M14" s="16" t="s">
        <v>241</v>
      </c>
      <c r="N14" s="16" t="s">
        <v>344</v>
      </c>
    </row>
    <row r="15" spans="1:14">
      <c r="A15" s="16" t="s">
        <v>340</v>
      </c>
      <c r="B15" s="431" t="s">
        <v>329</v>
      </c>
      <c r="C15">
        <v>0.95</v>
      </c>
      <c r="M15" s="16" t="s">
        <v>342</v>
      </c>
    </row>
    <row r="16" spans="1:14">
      <c r="A16" s="16" t="s">
        <v>341</v>
      </c>
      <c r="B16" s="431" t="s">
        <v>329</v>
      </c>
      <c r="C16">
        <v>0.5</v>
      </c>
      <c r="M16" s="16" t="s">
        <v>343</v>
      </c>
    </row>
    <row r="17" spans="1:14">
      <c r="A17" s="16" t="s">
        <v>242</v>
      </c>
      <c r="B17" s="16" t="s">
        <v>407</v>
      </c>
      <c r="C17">
        <v>800</v>
      </c>
      <c r="M17" s="16" t="s">
        <v>243</v>
      </c>
      <c r="N17" s="16" t="s">
        <v>253</v>
      </c>
    </row>
    <row r="18" spans="1:14">
      <c r="A18" s="16" t="s">
        <v>244</v>
      </c>
      <c r="B18" s="16" t="s">
        <v>409</v>
      </c>
      <c r="C18" t="b">
        <v>1</v>
      </c>
      <c r="M18" s="16" t="s">
        <v>252</v>
      </c>
      <c r="N18" s="16" t="s">
        <v>251</v>
      </c>
    </row>
    <row r="20" spans="1:14">
      <c r="A20" s="16" t="s">
        <v>347</v>
      </c>
      <c r="B20" s="16" t="s">
        <v>408</v>
      </c>
      <c r="C20" t="s">
        <v>326</v>
      </c>
      <c r="M20" s="16" t="s">
        <v>345</v>
      </c>
    </row>
    <row r="21" spans="1:14">
      <c r="A21" s="16" t="s">
        <v>338</v>
      </c>
      <c r="B21" s="16" t="s">
        <v>408</v>
      </c>
      <c r="C21" s="16" t="s">
        <v>339</v>
      </c>
      <c r="M21" s="16" t="s">
        <v>345</v>
      </c>
    </row>
    <row r="22" spans="1:14">
      <c r="A22" s="16" t="s">
        <v>348</v>
      </c>
      <c r="B22" s="16" t="s">
        <v>408</v>
      </c>
      <c r="C22" t="s">
        <v>327</v>
      </c>
      <c r="M22" s="16" t="s">
        <v>346</v>
      </c>
    </row>
    <row r="23" spans="1:14">
      <c r="A23" s="16" t="s">
        <v>349</v>
      </c>
      <c r="B23" s="16" t="s">
        <v>408</v>
      </c>
      <c r="C23" s="16" t="s">
        <v>351</v>
      </c>
      <c r="M23" s="16" t="s">
        <v>384</v>
      </c>
    </row>
    <row r="24" spans="1:14">
      <c r="A24" s="16" t="s">
        <v>350</v>
      </c>
      <c r="B24" s="16" t="s">
        <v>408</v>
      </c>
      <c r="C24" s="16" t="s">
        <v>352</v>
      </c>
      <c r="M24" s="16" t="s">
        <v>385</v>
      </c>
    </row>
    <row r="25" spans="1:14">
      <c r="A25" s="16" t="s">
        <v>388</v>
      </c>
      <c r="B25" s="16" t="s">
        <v>408</v>
      </c>
      <c r="C25" s="16" t="s">
        <v>389</v>
      </c>
      <c r="M25" s="16" t="s">
        <v>392</v>
      </c>
    </row>
    <row r="26" spans="1:14">
      <c r="A26" s="16" t="s">
        <v>390</v>
      </c>
      <c r="B26" s="16" t="s">
        <v>408</v>
      </c>
      <c r="C26" s="16" t="s">
        <v>391</v>
      </c>
      <c r="M26" s="16" t="s">
        <v>393</v>
      </c>
    </row>
    <row r="27" spans="1:14">
      <c r="A27" s="16" t="s">
        <v>394</v>
      </c>
      <c r="B27" s="16" t="s">
        <v>408</v>
      </c>
      <c r="C27" s="16" t="s">
        <v>396</v>
      </c>
      <c r="M27" s="16" t="s">
        <v>392</v>
      </c>
    </row>
    <row r="28" spans="1:14">
      <c r="A28" s="16" t="s">
        <v>395</v>
      </c>
      <c r="B28" s="16" t="s">
        <v>408</v>
      </c>
      <c r="C28" s="16" t="s">
        <v>397</v>
      </c>
      <c r="M28" s="16" t="s">
        <v>393</v>
      </c>
    </row>
    <row r="29" spans="1:14">
      <c r="A29" s="16" t="s">
        <v>412</v>
      </c>
      <c r="B29" s="16" t="s">
        <v>408</v>
      </c>
      <c r="C29" s="16" t="s">
        <v>413</v>
      </c>
    </row>
    <row r="33" spans="1:13">
      <c r="A33" s="404" t="s">
        <v>404</v>
      </c>
      <c r="B33" s="404" t="s">
        <v>324</v>
      </c>
      <c r="C33" s="404" t="s">
        <v>16</v>
      </c>
      <c r="D33" s="404" t="s">
        <v>381</v>
      </c>
      <c r="E33" s="404" t="s">
        <v>382</v>
      </c>
      <c r="F33" s="404" t="s">
        <v>374</v>
      </c>
      <c r="M33" s="16" t="s">
        <v>405</v>
      </c>
    </row>
    <row r="34" spans="1:13">
      <c r="A34" t="s">
        <v>128</v>
      </c>
      <c r="B34" s="403">
        <v>0.6</v>
      </c>
      <c r="C34" s="306">
        <f>VLOOKUP($A34,MxTransporte,4,FALSE)*$B34</f>
        <v>636</v>
      </c>
      <c r="D34" s="306">
        <f>VLOOKUP($A34,MxTransporte,12,FALSE)*$B34</f>
        <v>7.6200000000000004E-2</v>
      </c>
      <c r="E34" s="306">
        <f>VLOOKUP($A34,MxTransporte,16,FALSE)*$B34</f>
        <v>1.38</v>
      </c>
      <c r="F34" s="306">
        <f>VLOOKUP($A34,MxTransporte,20,FALSE)*$B34</f>
        <v>0.32880000000000004</v>
      </c>
      <c r="M34" s="16" t="s">
        <v>387</v>
      </c>
    </row>
    <row r="35" spans="1:13">
      <c r="A35" t="s">
        <v>130</v>
      </c>
      <c r="B35" s="403">
        <v>0.4</v>
      </c>
      <c r="C35" s="306">
        <f>VLOOKUP($A35,MxTransporte,4,FALSE)*$B35</f>
        <v>168</v>
      </c>
      <c r="D35" s="306">
        <f>VLOOKUP($A35,MxTransporte,12,FALSE)*$B35</f>
        <v>1.9480000000000001E-2</v>
      </c>
      <c r="E35" s="306">
        <f>VLOOKUP($A35,MxTransporte,16,FALSE)*$B35</f>
        <v>0.38519999999999999</v>
      </c>
      <c r="F35" s="306">
        <f>VLOOKUP($A35,MxTransporte,20,FALSE)*$B35</f>
        <v>9.2000000000000012E-2</v>
      </c>
      <c r="M35" s="16" t="s">
        <v>387</v>
      </c>
    </row>
    <row r="36" spans="1:13">
      <c r="A36" s="409" t="s">
        <v>175</v>
      </c>
      <c r="B36" s="410">
        <f>SUM(B33:B35)</f>
        <v>1</v>
      </c>
      <c r="C36" s="405">
        <f t="shared" ref="C36" si="0">SUM(C33:C35)</f>
        <v>804</v>
      </c>
      <c r="D36" s="406">
        <f t="shared" ref="D36" si="1">SUM(D33:D35)</f>
        <v>9.5680000000000001E-2</v>
      </c>
      <c r="E36" s="406">
        <f t="shared" ref="E36" si="2">SUM(E33:E35)</f>
        <v>1.7651999999999999</v>
      </c>
      <c r="F36" s="407">
        <f t="shared" ref="F36" si="3">SUM(F33:F35)</f>
        <v>0.42080000000000006</v>
      </c>
      <c r="M36" s="16" t="s">
        <v>386</v>
      </c>
    </row>
    <row r="38" spans="1:13">
      <c r="A38" s="404" t="s">
        <v>379</v>
      </c>
      <c r="B38" s="404" t="s">
        <v>324</v>
      </c>
      <c r="C38" s="404" t="s">
        <v>16</v>
      </c>
      <c r="D38" s="404" t="s">
        <v>381</v>
      </c>
      <c r="E38" s="404" t="s">
        <v>382</v>
      </c>
      <c r="F38" s="404" t="s">
        <v>374</v>
      </c>
      <c r="M38" s="16" t="s">
        <v>383</v>
      </c>
    </row>
    <row r="39" spans="1:13">
      <c r="A39" s="408" t="s">
        <v>246</v>
      </c>
      <c r="B39" s="403">
        <v>0.6</v>
      </c>
      <c r="C39" s="306">
        <f>VLOOKUP($A39,MxEnergieS,4,FALSE)*$B39</f>
        <v>560.4</v>
      </c>
      <c r="D39" s="306">
        <f>VLOOKUP($A39,MxEnergieS,6,FALSE)*$B39</f>
        <v>0.16500000000000001</v>
      </c>
      <c r="E39" s="306">
        <f>VLOOKUP($A39,MxEnergieS,7,FALSE)*$B39</f>
        <v>1.722</v>
      </c>
      <c r="F39" s="306">
        <f>VLOOKUP($A39,MxEnergieS,9,FALSE)*$B39</f>
        <v>0.31319999999999998</v>
      </c>
      <c r="M39" s="16" t="s">
        <v>387</v>
      </c>
    </row>
    <row r="40" spans="1:13">
      <c r="A40" s="408" t="s">
        <v>286</v>
      </c>
      <c r="B40" s="403">
        <v>0.3</v>
      </c>
      <c r="C40" s="306">
        <f>VLOOKUP($A40,MxEnergieS,4,FALSE)*$B40</f>
        <v>23.04</v>
      </c>
      <c r="D40" s="306">
        <f>VLOOKUP($A40,MxEnergieS,6,FALSE)*$B40</f>
        <v>0.35099999999999998</v>
      </c>
      <c r="E40" s="306">
        <f>VLOOKUP($A40,MxEnergieS,7,FALSE)*$B40</f>
        <v>7.3799999999999994E-3</v>
      </c>
      <c r="F40" s="306">
        <f>VLOOKUP($A40,MxEnergieS,9,FALSE)*$B40</f>
        <v>3.6899999999999997E-3</v>
      </c>
      <c r="M40" s="16" t="s">
        <v>387</v>
      </c>
    </row>
    <row r="41" spans="1:13">
      <c r="A41" s="408" t="s">
        <v>282</v>
      </c>
      <c r="B41" s="403">
        <v>0.1</v>
      </c>
      <c r="C41" s="306">
        <f>VLOOKUP($A41,MxEnergieS,4,FALSE)*$B41</f>
        <v>15.100000000000001</v>
      </c>
      <c r="D41" s="306">
        <f>VLOOKUP($A41,MxEnergieS,6,FALSE)*$B41</f>
        <v>0.12</v>
      </c>
      <c r="E41" s="306">
        <f>VLOOKUP($A41,MxEnergieS,7,FALSE)*$B41</f>
        <v>1.5900000000000001E-2</v>
      </c>
      <c r="F41" s="306">
        <f>VLOOKUP($A41,MxEnergieS,9,FALSE)*$B41</f>
        <v>4.7500000000000007E-3</v>
      </c>
      <c r="M41" s="16" t="s">
        <v>387</v>
      </c>
    </row>
    <row r="42" spans="1:13">
      <c r="A42" s="409" t="s">
        <v>175</v>
      </c>
      <c r="B42" s="410">
        <f>SUM(B39:B41)</f>
        <v>0.99999999999999989</v>
      </c>
      <c r="C42" s="405">
        <f t="shared" ref="C42:F42" si="4">SUM(C39:C41)</f>
        <v>598.54</v>
      </c>
      <c r="D42" s="406">
        <f t="shared" si="4"/>
        <v>0.63600000000000001</v>
      </c>
      <c r="E42" s="406">
        <f t="shared" si="4"/>
        <v>1.7452799999999999</v>
      </c>
      <c r="F42" s="407">
        <f t="shared" si="4"/>
        <v>0.32163999999999998</v>
      </c>
      <c r="M42" s="16" t="s">
        <v>386</v>
      </c>
    </row>
    <row r="44" spans="1:13">
      <c r="A44" s="404" t="s">
        <v>380</v>
      </c>
      <c r="B44" s="404" t="s">
        <v>324</v>
      </c>
      <c r="C44" s="404" t="s">
        <v>16</v>
      </c>
      <c r="D44" s="404" t="s">
        <v>381</v>
      </c>
      <c r="E44" s="404" t="s">
        <v>382</v>
      </c>
      <c r="F44" s="404" t="s">
        <v>374</v>
      </c>
      <c r="M44" s="16" t="s">
        <v>383</v>
      </c>
    </row>
    <row r="45" spans="1:13">
      <c r="A45" s="408" t="s">
        <v>195</v>
      </c>
      <c r="B45" s="403">
        <v>0.18</v>
      </c>
      <c r="C45" s="306">
        <f>VLOOKUP($A45,MxEnergieW,4,FALSE)*$B45</f>
        <v>73.44</v>
      </c>
      <c r="D45" s="306">
        <f>VLOOKUP($A45,MxEnergieW,6,FALSE)*$B45</f>
        <v>2.4299999999999999E-3</v>
      </c>
      <c r="E45" s="306">
        <f>VLOOKUP($A45,MxEnergieW,7,FALSE)*$B45</f>
        <v>0.22499999999999998</v>
      </c>
      <c r="F45" s="306">
        <f>VLOOKUP($A45,MxEnergieW,9,FALSE)*$B45</f>
        <v>5.8319999999999997E-2</v>
      </c>
      <c r="M45" s="16" t="s">
        <v>387</v>
      </c>
    </row>
    <row r="46" spans="1:13">
      <c r="A46" s="408" t="s">
        <v>198</v>
      </c>
      <c r="B46" s="403">
        <v>0.8</v>
      </c>
      <c r="C46" s="306">
        <f>VLOOKUP($A46,MxEnergieW,4,FALSE)*$B46</f>
        <v>219.20000000000002</v>
      </c>
      <c r="D46" s="306">
        <f>VLOOKUP($A46,MxEnergieW,6,FALSE)*$B46</f>
        <v>2.2960000000000003E-3</v>
      </c>
      <c r="E46" s="306">
        <f>VLOOKUP($A46,MxEnergieW,7,FALSE)*$B46</f>
        <v>0.84000000000000008</v>
      </c>
      <c r="F46" s="306">
        <f>VLOOKUP($A46,MxEnergieW,9,FALSE)*$B46</f>
        <v>0.18400000000000002</v>
      </c>
      <c r="M46" s="16" t="s">
        <v>387</v>
      </c>
    </row>
    <row r="47" spans="1:13">
      <c r="A47" s="408" t="s">
        <v>322</v>
      </c>
      <c r="B47" s="403">
        <v>0.02</v>
      </c>
      <c r="C47" s="306">
        <f>VLOOKUP($A47,MxEnergieW,4,FALSE)*$B47</f>
        <v>3.1</v>
      </c>
      <c r="D47" s="306">
        <f>VLOOKUP($A47,MxEnergieW,6,FALSE)*$B47</f>
        <v>5.6400000000000005E-4</v>
      </c>
      <c r="E47" s="306">
        <f>VLOOKUP($A47,MxEnergieW,7,FALSE)*$B47</f>
        <v>5.8599999999999998E-3</v>
      </c>
      <c r="F47" s="306">
        <f>VLOOKUP($A47,MxEnergieW,9,FALSE)*$B47</f>
        <v>2.48E-3</v>
      </c>
      <c r="M47" s="16" t="s">
        <v>387</v>
      </c>
    </row>
    <row r="48" spans="1:13">
      <c r="A48" s="409" t="s">
        <v>175</v>
      </c>
      <c r="B48" s="410">
        <f>SUM(B45:B47)</f>
        <v>1</v>
      </c>
      <c r="C48" s="405">
        <f t="shared" ref="C48" si="5">SUM(C45:C47)</f>
        <v>295.74</v>
      </c>
      <c r="D48" s="406">
        <f t="shared" ref="D48" si="6">SUM(D45:D47)</f>
        <v>5.2900000000000004E-3</v>
      </c>
      <c r="E48" s="406">
        <f t="shared" ref="E48" si="7">SUM(E45:E47)</f>
        <v>1.0708599999999999</v>
      </c>
      <c r="F48" s="407">
        <f t="shared" ref="F48" si="8">SUM(F45:F47)</f>
        <v>0.24480000000000005</v>
      </c>
      <c r="M48" s="16" t="s">
        <v>386</v>
      </c>
    </row>
  </sheetData>
  <sheetProtection algorithmName="SHA-512" hashValue="39CbqumSMQcBHyR7VA8F1Y0HonfBOaldbEvkqCN2P8KwCgSO3C6YdSxvvUjNuS6v+6nFsXWKnlM51uNN6pDuCg==" saltValue="umdL6rDNGIj8BM0pOCgKwg==" spinCount="100000" sheet="1" objects="1" scenarios="1" selectLockedCells="1" selectUnlockedCells="1"/>
  <phoneticPr fontId="3" type="noConversion"/>
  <dataValidations count="3">
    <dataValidation type="list" allowBlank="1" showInputMessage="1" showErrorMessage="1" sqref="A39:A41" xr:uid="{A103990A-4BBA-4C20-8DEB-B5AFA70D94E8}">
      <formula1>LstStrom</formula1>
    </dataValidation>
    <dataValidation type="list" allowBlank="1" showInputMessage="1" showErrorMessage="1" sqref="A45:A47" xr:uid="{F7148046-0B7A-4109-9163-EFFFF5D7E326}">
      <formula1>LstWaerme</formula1>
    </dataValidation>
    <dataValidation type="list" allowBlank="1" showInputMessage="1" showErrorMessage="1" sqref="A34:A35" xr:uid="{B61ABA77-C2E5-4A00-9CC9-60A565A596CF}">
      <formula1>Transporte</formula1>
    </dataValidation>
  </dataValidation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25"/>
  <sheetViews>
    <sheetView workbookViewId="0">
      <selection activeCell="B4" sqref="B4"/>
    </sheetView>
  </sheetViews>
  <sheetFormatPr baseColWidth="10" defaultColWidth="11.42578125" defaultRowHeight="12.75"/>
  <cols>
    <col min="1" max="1" width="11.42578125" style="65"/>
    <col min="2" max="2" width="94.42578125" style="65" customWidth="1"/>
    <col min="3" max="16384" width="11.42578125" style="65"/>
  </cols>
  <sheetData>
    <row r="1" spans="1:4" ht="18.75" customHeight="1">
      <c r="A1" s="70" t="s">
        <v>47</v>
      </c>
      <c r="B1" s="69"/>
      <c r="C1" s="69"/>
      <c r="D1" s="69"/>
    </row>
    <row r="2" spans="1:4" ht="21.75" customHeight="1"/>
    <row r="3" spans="1:4">
      <c r="A3" s="69" t="s">
        <v>52</v>
      </c>
      <c r="B3" s="69" t="s">
        <v>48</v>
      </c>
      <c r="C3" s="69" t="s">
        <v>49</v>
      </c>
      <c r="D3" s="69" t="s">
        <v>50</v>
      </c>
    </row>
    <row r="4" spans="1:4">
      <c r="A4" s="68" t="s">
        <v>248</v>
      </c>
      <c r="B4" s="65" t="s">
        <v>53</v>
      </c>
      <c r="C4" s="67">
        <v>43783</v>
      </c>
      <c r="D4" s="65" t="s">
        <v>51</v>
      </c>
    </row>
    <row r="5" spans="1:4">
      <c r="A5" s="68" t="s">
        <v>249</v>
      </c>
      <c r="B5" s="65" t="s">
        <v>176</v>
      </c>
      <c r="C5" s="67">
        <v>43802</v>
      </c>
      <c r="D5" s="65" t="s">
        <v>51</v>
      </c>
    </row>
    <row r="6" spans="1:4">
      <c r="A6" s="68" t="s">
        <v>247</v>
      </c>
      <c r="B6" s="65" t="s">
        <v>250</v>
      </c>
      <c r="C6" s="67">
        <v>43808</v>
      </c>
      <c r="D6" s="65" t="s">
        <v>51</v>
      </c>
    </row>
    <row r="7" spans="1:4">
      <c r="A7" s="68" t="s">
        <v>266</v>
      </c>
      <c r="B7" s="65" t="s">
        <v>265</v>
      </c>
      <c r="C7" s="67">
        <v>44551</v>
      </c>
      <c r="D7" s="65" t="s">
        <v>255</v>
      </c>
    </row>
    <row r="8" spans="1:4">
      <c r="A8" s="68" t="s">
        <v>273</v>
      </c>
      <c r="B8" s="65" t="s">
        <v>274</v>
      </c>
      <c r="C8" s="67">
        <v>45154</v>
      </c>
      <c r="D8" s="65" t="s">
        <v>255</v>
      </c>
    </row>
    <row r="9" spans="1:4">
      <c r="A9" s="68" t="s">
        <v>300</v>
      </c>
      <c r="B9" s="65" t="s">
        <v>301</v>
      </c>
      <c r="C9" s="67">
        <v>45229</v>
      </c>
      <c r="D9" s="65" t="s">
        <v>255</v>
      </c>
    </row>
    <row r="24" spans="1:4">
      <c r="A24" s="66"/>
      <c r="B24" s="66"/>
      <c r="C24" s="66"/>
      <c r="D24" s="66"/>
    </row>
    <row r="25" spans="1:4">
      <c r="A25" s="65" t="str">
        <f t="array" ref="A25">INDEX(A4:A24,MATCH(TRUE, IF(ISBLANK(A4:A24), A4:A24),1))</f>
        <v>1.3</v>
      </c>
      <c r="C25" s="67">
        <f t="array" ref="C25">INDEX(C4:C24,MATCH(TRUE, IF(ISBLANK(C4:C24), C4:C24),1))</f>
        <v>45229</v>
      </c>
    </row>
  </sheetData>
  <sheetProtection algorithmName="SHA-512" hashValue="CnfOFnJD4KAlTSxN0OBnmSoqFHgnioqSc9mnqV6C2rdCLUJ1VXyDRzY0hI39i7I26bpoqh9M9HMQsN00tm7XmQ==" saltValue="Vi3XsrsLzwSGWMx4zuocJw==" spinCount="100000" sheet="1" objects="1" scenarios="1" selectLockedCells="1" selectUnlockedCell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74</vt:i4>
      </vt:variant>
    </vt:vector>
  </HeadingPairs>
  <TitlesOfParts>
    <vt:vector size="82" baseType="lpstr">
      <vt:lpstr>Start</vt:lpstr>
      <vt:lpstr>Produkt_1</vt:lpstr>
      <vt:lpstr>Produkt_2</vt:lpstr>
      <vt:lpstr>Produkt_3</vt:lpstr>
      <vt:lpstr>Produkt_4</vt:lpstr>
      <vt:lpstr>LCA-Daten</vt:lpstr>
      <vt:lpstr>Konstanten</vt:lpstr>
      <vt:lpstr>Versionierung</vt:lpstr>
      <vt:lpstr>Produkt_2!Anzahl</vt:lpstr>
      <vt:lpstr>Produkt_3!Anzahl</vt:lpstr>
      <vt:lpstr>Produkt_4!Anzahl</vt:lpstr>
      <vt:lpstr>Anzahl</vt:lpstr>
      <vt:lpstr>AnzAusblenden</vt:lpstr>
      <vt:lpstr>Produkt_1!Ausgefuellt1</vt:lpstr>
      <vt:lpstr>Produkt_2!Ausgefuellt1</vt:lpstr>
      <vt:lpstr>Produkt_3!Ausgefuellt1</vt:lpstr>
      <vt:lpstr>Produkt_4!Ausgefuellt1</vt:lpstr>
      <vt:lpstr>Beschichtung</vt:lpstr>
      <vt:lpstr>Bezugsmaterial</vt:lpstr>
      <vt:lpstr>DefEnStrom</vt:lpstr>
      <vt:lpstr>DefEnStromS</vt:lpstr>
      <vt:lpstr>DefEnWaerme</vt:lpstr>
      <vt:lpstr>DefEnWaermeS</vt:lpstr>
      <vt:lpstr>DefMatEff</vt:lpstr>
      <vt:lpstr>DefMatEffS</vt:lpstr>
      <vt:lpstr>DefTransD</vt:lpstr>
      <vt:lpstr>DeklAnteilNotOK</vt:lpstr>
      <vt:lpstr>DeklAnteilOK</vt:lpstr>
      <vt:lpstr>DeklEnEinsatzNotOK</vt:lpstr>
      <vt:lpstr>DeklEnMixSnotOK</vt:lpstr>
      <vt:lpstr>DeklEnMixSOK</vt:lpstr>
      <vt:lpstr>DeklEnMixWnotOK</vt:lpstr>
      <vt:lpstr>DeklEnMixWOK</vt:lpstr>
      <vt:lpstr>DeklGewichtOK</vt:lpstr>
      <vt:lpstr>DeklMatEffNotOK</vt:lpstr>
      <vt:lpstr>Produkt_1!Druckbereich</vt:lpstr>
      <vt:lpstr>Produkt_2!Druckbereich</vt:lpstr>
      <vt:lpstr>Produkt_3!Druckbereich</vt:lpstr>
      <vt:lpstr>Produkt_4!Druckbereich</vt:lpstr>
      <vt:lpstr>Start!Druckbereich</vt:lpstr>
      <vt:lpstr>Produkt_1!Drucktitel</vt:lpstr>
      <vt:lpstr>Produkt_2!Drucktitel</vt:lpstr>
      <vt:lpstr>Produkt_3!Drucktitel</vt:lpstr>
      <vt:lpstr>Produkt_4!Drucktitel</vt:lpstr>
      <vt:lpstr>Energie</vt:lpstr>
      <vt:lpstr>Produkt_1!EnStromG</vt:lpstr>
      <vt:lpstr>Produkt_2!EnStromG</vt:lpstr>
      <vt:lpstr>Produkt_3!EnStromG</vt:lpstr>
      <vt:lpstr>Produkt_4!EnStromG</vt:lpstr>
      <vt:lpstr>EnStromS</vt:lpstr>
      <vt:lpstr>Produkt_1!EnWaermeG</vt:lpstr>
      <vt:lpstr>Produkt_2!EnWaermeG</vt:lpstr>
      <vt:lpstr>Produkt_3!EnWaermeG</vt:lpstr>
      <vt:lpstr>Produkt_4!EnWaermeG</vt:lpstr>
      <vt:lpstr>EnWaermeS</vt:lpstr>
      <vt:lpstr>FaktAlu</vt:lpstr>
      <vt:lpstr>FaktChrom</vt:lpstr>
      <vt:lpstr>FaktStahl</vt:lpstr>
      <vt:lpstr>GWOEnStrom</vt:lpstr>
      <vt:lpstr>GWOEnWaerme</vt:lpstr>
      <vt:lpstr>GWOMatEff</vt:lpstr>
      <vt:lpstr>GWUEnStrom</vt:lpstr>
      <vt:lpstr>GWUEnWaerme</vt:lpstr>
      <vt:lpstr>GWUMatEff</vt:lpstr>
      <vt:lpstr>Holzwerkstoff</vt:lpstr>
      <vt:lpstr>Kunststoff</vt:lpstr>
      <vt:lpstr>LstStrom</vt:lpstr>
      <vt:lpstr>LstWaerme</vt:lpstr>
      <vt:lpstr>Produkt_1!MatEffG</vt:lpstr>
      <vt:lpstr>Produkt_2!MatEffG</vt:lpstr>
      <vt:lpstr>Produkt_3!MatEffG</vt:lpstr>
      <vt:lpstr>Produkt_4!MatEffG</vt:lpstr>
      <vt:lpstr>MatEffS</vt:lpstr>
      <vt:lpstr>Metalle</vt:lpstr>
      <vt:lpstr>MxEnergieS</vt:lpstr>
      <vt:lpstr>MxEnergieW</vt:lpstr>
      <vt:lpstr>MxLCA</vt:lpstr>
      <vt:lpstr>MxTransporte</vt:lpstr>
      <vt:lpstr>RSart</vt:lpstr>
      <vt:lpstr>Transporte</vt:lpstr>
      <vt:lpstr>Version</vt:lpstr>
      <vt:lpstr>VersionsDatum</vt:lpstr>
    </vt:vector>
  </TitlesOfParts>
  <Company>treeze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Betonsortenrechner für Hersteller</dc:title>
  <dc:creator>tschuemperlin@treeze.ch;frischknecht@treeze.ch</dc:creator>
  <cp:lastModifiedBy>Pöll Michael (AHB)</cp:lastModifiedBy>
  <cp:lastPrinted>2023-10-31T10:36:59Z</cp:lastPrinted>
  <dcterms:created xsi:type="dcterms:W3CDTF">2008-01-29T12:58:52Z</dcterms:created>
  <dcterms:modified xsi:type="dcterms:W3CDTF">2024-01-25T13:36:20Z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